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2" sheetId="1" state="visible" r:id="rId2"/>
  </sheets>
  <definedNames>
    <definedName function="false" hidden="false" name="equil_x" vbProcedure="false">Sheet2!$J$2:$J$15</definedName>
    <definedName function="false" hidden="false" name="equil_y" vbProcedure="false">Sheet2!$K$2:$K$15</definedName>
    <definedName function="false" hidden="false" name="s_line" vbProcedure="false">#REF!</definedName>
    <definedName function="false" hidden="false" localSheetId="0" name="equil" vbProcedure="false">Sheet2!$J$2:$K$15</definedName>
    <definedName function="false" hidden="false" localSheetId="0" name="equil_curve" vbProcedure="false">Sheet2!$C$2:$D$15</definedName>
  </definedName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<sst xmlns="http://schemas.openxmlformats.org/spreadsheetml/2006/main" count="74" uniqueCount="68">
  <si>
    <t xml:space="preserve">Given</t>
  </si>
  <si>
    <t xml:space="preserve">Units</t>
  </si>
  <si>
    <t xml:space="preserve">x</t>
  </si>
  <si>
    <t xml:space="preserve">y</t>
  </si>
  <si>
    <t xml:space="preserve">Boiling Temperature (T), °C</t>
  </si>
  <si>
    <r>
      <rPr>
        <b val="true"/>
        <sz val="10"/>
        <rFont val="Arial"/>
        <family val="2"/>
        <charset val="1"/>
      </rPr>
      <t xml:space="preserve">Mol Fraction Acetone in Liquid, x</t>
    </r>
    <r>
      <rPr>
        <b val="true"/>
        <vertAlign val="subscript"/>
        <sz val="10"/>
        <rFont val="Arial"/>
        <family val="2"/>
        <charset val="1"/>
      </rPr>
      <t xml:space="preserve">A</t>
    </r>
  </si>
  <si>
    <r>
      <rPr>
        <b val="true"/>
        <sz val="10"/>
        <rFont val="Arial"/>
        <family val="2"/>
        <charset val="1"/>
      </rPr>
      <t xml:space="preserve">Mol Fraction Acetone in Vapor, y</t>
    </r>
    <r>
      <rPr>
        <b val="true"/>
        <vertAlign val="subscript"/>
        <sz val="10"/>
        <rFont val="Arial"/>
        <family val="2"/>
        <charset val="1"/>
      </rPr>
      <t xml:space="preserve">A</t>
    </r>
  </si>
  <si>
    <t xml:space="preserve">Distillate</t>
  </si>
  <si>
    <t xml:space="preserve">Bottoms</t>
  </si>
  <si>
    <t xml:space="preserve">Feed Line</t>
  </si>
  <si>
    <t xml:space="preserve">Rectifying Line</t>
  </si>
  <si>
    <t xml:space="preserve">Stripping Line</t>
  </si>
  <si>
    <t xml:space="preserve">Feed Flow Rate (F)</t>
  </si>
  <si>
    <r>
      <rPr>
        <i val="true"/>
        <sz val="10"/>
        <rFont val="Arial"/>
        <family val="2"/>
        <charset val="1"/>
      </rPr>
      <t xml:space="preserve">kmol h</t>
    </r>
    <r>
      <rPr>
        <i val="true"/>
        <vertAlign val="superscript"/>
        <sz val="10"/>
        <rFont val="Arial"/>
        <family val="2"/>
        <charset val="1"/>
      </rPr>
      <t xml:space="preserve">-1</t>
    </r>
  </si>
  <si>
    <r>
      <rPr>
        <b val="true"/>
        <sz val="10"/>
        <rFont val="Arial"/>
        <family val="2"/>
        <charset val="1"/>
      </rPr>
      <t xml:space="preserve">Feed Composition (x</t>
    </r>
    <r>
      <rPr>
        <b val="true"/>
        <vertAlign val="subscript"/>
        <sz val="10"/>
        <rFont val="Arial"/>
        <family val="2"/>
        <charset val="1"/>
      </rPr>
      <t xml:space="preserve">F</t>
    </r>
    <r>
      <rPr>
        <b val="true"/>
        <sz val="10"/>
        <rFont val="Arial"/>
        <family val="2"/>
        <charset val="1"/>
      </rPr>
      <t xml:space="preserve">)</t>
    </r>
  </si>
  <si>
    <r>
      <rPr>
        <b val="true"/>
        <sz val="10"/>
        <rFont val="Arial"/>
        <family val="2"/>
        <charset val="1"/>
      </rPr>
      <t xml:space="preserve">Concentration of the most volatile in the distillate (x</t>
    </r>
    <r>
      <rPr>
        <b val="true"/>
        <vertAlign val="subscript"/>
        <sz val="10"/>
        <rFont val="Arial"/>
        <family val="2"/>
        <charset val="1"/>
      </rPr>
      <t xml:space="preserve">D</t>
    </r>
    <r>
      <rPr>
        <b val="true"/>
        <sz val="10"/>
        <rFont val="Arial"/>
        <family val="2"/>
        <charset val="1"/>
      </rPr>
      <t xml:space="preserve">), minimum = 0.96</t>
    </r>
  </si>
  <si>
    <r>
      <rPr>
        <b val="true"/>
        <sz val="10"/>
        <rFont val="Arial"/>
        <family val="2"/>
        <charset val="1"/>
      </rPr>
      <t xml:space="preserve">Concentration of the most volatile in the bottoms (x</t>
    </r>
    <r>
      <rPr>
        <b val="true"/>
        <vertAlign val="subscript"/>
        <sz val="10"/>
        <rFont val="Arial"/>
        <family val="2"/>
        <charset val="1"/>
      </rPr>
      <t xml:space="preserve">B</t>
    </r>
    <r>
      <rPr>
        <b val="true"/>
        <sz val="10"/>
        <rFont val="Arial"/>
        <family val="2"/>
        <charset val="1"/>
      </rPr>
      <t xml:space="preserve">), maximum = 0.02</t>
    </r>
  </si>
  <si>
    <t xml:space="preserve">Operating Pressure, atm</t>
  </si>
  <si>
    <t xml:space="preserve">atm</t>
  </si>
  <si>
    <t xml:space="preserve">Feed Temperature</t>
  </si>
  <si>
    <t xml:space="preserve">°C</t>
  </si>
  <si>
    <t xml:space="preserve">Feed Type</t>
  </si>
  <si>
    <t xml:space="preserve">Liquid</t>
  </si>
  <si>
    <t xml:space="preserve">q</t>
  </si>
  <si>
    <t xml:space="preserve">Distillate (D)</t>
  </si>
  <si>
    <t xml:space="preserve">Bottoms (B)</t>
  </si>
  <si>
    <r>
      <rPr>
        <sz val="10"/>
        <rFont val="Arial"/>
        <family val="2"/>
        <charset val="1"/>
      </rPr>
      <t xml:space="preserve">Minimum Reflux Ratio (R</t>
    </r>
    <r>
      <rPr>
        <vertAlign val="subscript"/>
        <sz val="10"/>
        <rFont val="Arial"/>
        <family val="2"/>
        <charset val="1"/>
      </rPr>
      <t xml:space="preserve">min</t>
    </r>
    <r>
      <rPr>
        <sz val="10"/>
        <rFont val="Arial"/>
        <family val="2"/>
        <charset val="1"/>
      </rPr>
      <t xml:space="preserve">)</t>
    </r>
  </si>
  <si>
    <r>
      <rPr>
        <b val="true"/>
        <sz val="10"/>
        <rFont val="Arial"/>
        <family val="2"/>
        <charset val="1"/>
      </rPr>
      <t xml:space="preserve">Reflux Ratio (1.5R</t>
    </r>
    <r>
      <rPr>
        <b val="true"/>
        <vertAlign val="subscript"/>
        <sz val="10"/>
        <rFont val="Arial"/>
        <family val="2"/>
        <charset val="1"/>
      </rPr>
      <t xml:space="preserve">min</t>
    </r>
    <r>
      <rPr>
        <b val="true"/>
        <sz val="10"/>
        <rFont val="Arial"/>
        <family val="2"/>
        <charset val="1"/>
      </rPr>
      <t xml:space="preserve">)</t>
    </r>
  </si>
  <si>
    <t xml:space="preserve">q/(q-1)</t>
  </si>
  <si>
    <t xml:space="preserve">Thermodynamic Properties</t>
  </si>
  <si>
    <r>
      <rPr>
        <sz val="10"/>
        <rFont val="Arial"/>
        <family val="2"/>
        <charset val="1"/>
      </rPr>
      <t xml:space="preserve">-x</t>
    </r>
    <r>
      <rPr>
        <vertAlign val="subscript"/>
        <sz val="10"/>
        <rFont val="Arial"/>
        <family val="2"/>
        <charset val="1"/>
      </rPr>
      <t xml:space="preserve">f</t>
    </r>
    <r>
      <rPr>
        <sz val="10"/>
        <rFont val="Arial"/>
        <family val="2"/>
        <charset val="1"/>
      </rPr>
      <t xml:space="preserve">./(q-1)</t>
    </r>
  </si>
  <si>
    <r>
      <rPr>
        <sz val="10"/>
        <rFont val="Arial"/>
        <family val="2"/>
        <charset val="1"/>
      </rPr>
      <t xml:space="preserve">Acetone H</t>
    </r>
    <r>
      <rPr>
        <vertAlign val="subscript"/>
        <sz val="10"/>
        <rFont val="Arial"/>
        <family val="2"/>
        <charset val="1"/>
      </rPr>
      <t xml:space="preserve">vap</t>
    </r>
    <r>
      <rPr>
        <sz val="10"/>
        <rFont val="Arial"/>
        <family val="2"/>
        <charset val="1"/>
      </rPr>
      <t xml:space="preserve">, kJ/kg</t>
    </r>
  </si>
  <si>
    <t xml:space="preserve">Acetone Cp (l), kJ/kg K</t>
  </si>
  <si>
    <t xml:space="preserve">Rectifying Section</t>
  </si>
  <si>
    <t xml:space="preserve">Acetone Cp (g), kJ/kg K</t>
  </si>
  <si>
    <t xml:space="preserve">R/(R+1)</t>
  </si>
  <si>
    <r>
      <rPr>
        <sz val="10"/>
        <rFont val="Arial"/>
        <family val="2"/>
        <charset val="1"/>
      </rPr>
      <t xml:space="preserve">Water H</t>
    </r>
    <r>
      <rPr>
        <vertAlign val="subscript"/>
        <sz val="10"/>
        <rFont val="Arial"/>
        <family val="2"/>
        <charset val="1"/>
      </rPr>
      <t xml:space="preserve">vap</t>
    </r>
    <r>
      <rPr>
        <sz val="10"/>
        <rFont val="Arial"/>
        <family val="2"/>
        <charset val="1"/>
      </rPr>
      <t xml:space="preserve">, kJ/kg</t>
    </r>
  </si>
  <si>
    <r>
      <rPr>
        <sz val="10"/>
        <rFont val="Arial"/>
        <family val="2"/>
        <charset val="1"/>
      </rPr>
      <t xml:space="preserve">x</t>
    </r>
    <r>
      <rPr>
        <vertAlign val="subscript"/>
        <sz val="10"/>
        <rFont val="Arial"/>
        <family val="2"/>
        <charset val="1"/>
      </rPr>
      <t xml:space="preserve">D</t>
    </r>
    <r>
      <rPr>
        <sz val="10"/>
        <rFont val="Arial"/>
        <family val="2"/>
        <charset val="1"/>
      </rPr>
      <t xml:space="preserve">/(R+1)</t>
    </r>
  </si>
  <si>
    <t xml:space="preserve">Water Cp (l), kJ/kg K</t>
  </si>
  <si>
    <t xml:space="preserve">Water Cp (g), kJ/kg K</t>
  </si>
  <si>
    <t xml:space="preserve">Liquid Reflux Stream to Column (L)</t>
  </si>
  <si>
    <t xml:space="preserve">Molecular Properties</t>
  </si>
  <si>
    <t xml:space="preserve">Vapor Stream from Column (V)</t>
  </si>
  <si>
    <t xml:space="preserve">MW Acetone, g/mol</t>
  </si>
  <si>
    <t xml:space="preserve">MW Water, g/mol</t>
  </si>
  <si>
    <t xml:space="preserve">Rectifying-Stripping Intersection</t>
  </si>
  <si>
    <r>
      <rPr>
        <sz val="10"/>
        <rFont val="Arial"/>
        <family val="2"/>
        <charset val="1"/>
      </rPr>
      <t xml:space="preserve">q</t>
    </r>
    <r>
      <rPr>
        <vertAlign val="subscript"/>
        <sz val="10"/>
        <rFont val="Arial"/>
        <family val="2"/>
        <charset val="1"/>
      </rPr>
      <t xml:space="preserve">x</t>
    </r>
  </si>
  <si>
    <t xml:space="preserve">Reflux Ratio</t>
  </si>
  <si>
    <r>
      <rPr>
        <sz val="10"/>
        <rFont val="Arial"/>
        <family val="2"/>
        <charset val="1"/>
      </rPr>
      <t xml:space="preserve">q</t>
    </r>
    <r>
      <rPr>
        <vertAlign val="subscript"/>
        <sz val="10"/>
        <rFont val="Arial"/>
        <family val="2"/>
        <charset val="1"/>
      </rPr>
      <t xml:space="preserve">y</t>
    </r>
  </si>
  <si>
    <t xml:space="preserve">R</t>
  </si>
  <si>
    <r>
      <rPr>
        <b val="true"/>
        <sz val="10"/>
        <rFont val="Arial"/>
        <family val="2"/>
        <charset val="1"/>
      </rPr>
      <t xml:space="preserve">x</t>
    </r>
    <r>
      <rPr>
        <b val="true"/>
        <vertAlign val="subscript"/>
        <sz val="10"/>
        <rFont val="Arial"/>
        <family val="2"/>
        <charset val="1"/>
      </rPr>
      <t xml:space="preserve">D</t>
    </r>
    <r>
      <rPr>
        <b val="true"/>
        <sz val="10"/>
        <rFont val="Arial"/>
        <family val="2"/>
        <charset val="1"/>
      </rPr>
      <t xml:space="preserve">/(R+1)</t>
    </r>
  </si>
  <si>
    <r>
      <rPr>
        <b val="true"/>
        <sz val="10"/>
        <rFont val="Arial"/>
        <family val="2"/>
        <charset val="1"/>
      </rPr>
      <t xml:space="preserve">q</t>
    </r>
    <r>
      <rPr>
        <b val="true"/>
        <vertAlign val="subscript"/>
        <sz val="10"/>
        <rFont val="Arial"/>
        <family val="2"/>
        <charset val="1"/>
      </rPr>
      <t xml:space="preserve">x</t>
    </r>
  </si>
  <si>
    <r>
      <rPr>
        <b val="true"/>
        <sz val="10"/>
        <rFont val="Arial"/>
        <family val="2"/>
        <charset val="1"/>
      </rPr>
      <t xml:space="preserve">q</t>
    </r>
    <r>
      <rPr>
        <b val="true"/>
        <vertAlign val="subscript"/>
        <sz val="10"/>
        <rFont val="Arial"/>
        <family val="2"/>
        <charset val="1"/>
      </rPr>
      <t xml:space="preserve">y</t>
    </r>
  </si>
  <si>
    <t xml:space="preserve">Intersection</t>
  </si>
  <si>
    <t xml:space="preserve">Stripping Section</t>
  </si>
  <si>
    <t xml:space="preserve">L’/V’</t>
  </si>
  <si>
    <r>
      <rPr>
        <sz val="10"/>
        <rFont val="Arial"/>
        <family val="2"/>
        <charset val="1"/>
      </rPr>
      <t xml:space="preserve">-Bx</t>
    </r>
    <r>
      <rPr>
        <vertAlign val="subscript"/>
        <sz val="10"/>
        <rFont val="Arial"/>
        <family val="2"/>
        <charset val="1"/>
      </rPr>
      <t xml:space="preserve">B</t>
    </r>
    <r>
      <rPr>
        <sz val="10"/>
        <rFont val="Arial"/>
        <family val="2"/>
        <charset val="1"/>
      </rPr>
      <t xml:space="preserve">/V'</t>
    </r>
  </si>
  <si>
    <t xml:space="preserve">Liquid Stream from Column (L’)</t>
  </si>
  <si>
    <t xml:space="preserve">Vapor Reflux Stream to Column (V’)</t>
  </si>
  <si>
    <t xml:space="preserve">Number of Trays</t>
  </si>
  <si>
    <t xml:space="preserve">Feed Tray</t>
  </si>
  <si>
    <t xml:space="preserve">Reboiler Duty</t>
  </si>
  <si>
    <t xml:space="preserve">MJ</t>
  </si>
  <si>
    <t xml:space="preserve">Condenser Duty</t>
  </si>
  <si>
    <t xml:space="preserve">Distillation</t>
  </si>
  <si>
    <t xml:space="preserve">Stage</t>
  </si>
  <si>
    <r>
      <rPr>
        <b val="true"/>
        <sz val="10"/>
        <rFont val="Arial"/>
        <family val="2"/>
        <charset val="1"/>
      </rPr>
      <t xml:space="preserve">y</t>
    </r>
    <r>
      <rPr>
        <b val="true"/>
        <vertAlign val="subscript"/>
        <sz val="10"/>
        <rFont val="Arial"/>
        <family val="2"/>
        <charset val="1"/>
      </rPr>
      <t xml:space="preserve">i</t>
    </r>
  </si>
  <si>
    <r>
      <rPr>
        <b val="true"/>
        <sz val="10"/>
        <rFont val="Arial"/>
        <family val="2"/>
        <charset val="1"/>
      </rPr>
      <t xml:space="preserve">x</t>
    </r>
    <r>
      <rPr>
        <b val="true"/>
        <vertAlign val="subscript"/>
        <sz val="10"/>
        <rFont val="Arial"/>
        <family val="2"/>
        <charset val="1"/>
      </rPr>
      <t xml:space="preserve">i</t>
    </r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</si>
</sst>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.00"/>
    <numFmt numFmtId="166" formatCode="General"/>
    <numFmt numFmtId="167" formatCode="0.0000"/>
  </numFmts>
  <fonts count="12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i val="true"/>
      <sz val="10"/>
      <name val="Arial"/>
      <family val="2"/>
      <charset val="1"/>
    </font>
    <font>
      <b val="true"/>
      <sz val="12"/>
      <name val="Arial"/>
      <family val="2"/>
      <charset val="1"/>
    </font>
    <font>
      <b val="true"/>
      <sz val="10"/>
      <name val="Arial"/>
      <family val="2"/>
      <charset val="1"/>
    </font>
    <font>
      <b val="true"/>
      <vertAlign val="subscript"/>
      <sz val="10"/>
      <name val="Arial"/>
      <family val="2"/>
      <charset val="1"/>
    </font>
    <font>
      <i val="true"/>
      <vertAlign val="superscript"/>
      <sz val="10"/>
      <name val="Arial"/>
      <family val="2"/>
      <charset val="1"/>
    </font>
    <font>
      <vertAlign val="subscript"/>
      <sz val="10"/>
      <name val="Arial"/>
      <family val="2"/>
      <charset val="1"/>
    </font>
    <font>
      <sz val="10"/>
      <name val="Arial"/>
      <family val="2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E8F2A1"/>
        <bgColor rgb="FFFFFFCC"/>
      </patternFill>
    </fill>
    <fill>
      <patternFill patternType="solid">
        <fgColor rgb="FFB3CAC7"/>
        <bgColor rgb="FFB3B3B3"/>
      </patternFill>
    </fill>
    <fill>
      <patternFill patternType="solid">
        <fgColor rgb="FFFFBF00"/>
        <bgColor rgb="FFFFD320"/>
      </patternFill>
    </fill>
  </fills>
  <borders count="14">
    <border diagonalUp="false" diagonalDown="false">
      <left/>
      <right/>
      <top/>
      <bottom/>
      <diagonal/>
    </border>
    <border diagonalUp="false" diagonalDown="false">
      <left style="hair"/>
      <right/>
      <top/>
      <bottom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hair"/>
      <right style="hair"/>
      <top/>
      <bottom/>
      <diagonal/>
    </border>
    <border diagonalUp="false" diagonalDown="false">
      <left/>
      <right style="hair"/>
      <top/>
      <bottom/>
      <diagonal/>
    </border>
    <border diagonalUp="false" diagonalDown="false">
      <left style="hair"/>
      <right/>
      <top/>
      <bottom style="hair"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/>
      <right style="hair"/>
      <top/>
      <bottom style="hair"/>
      <diagonal/>
    </border>
    <border diagonalUp="false" diagonalDown="false">
      <left style="hair"/>
      <right/>
      <top style="hair"/>
      <bottom/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/>
      <right style="hair"/>
      <top style="hair"/>
      <bottom/>
      <diagonal/>
    </border>
    <border diagonalUp="false" diagonalDown="false">
      <left/>
      <right/>
      <top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2" borderId="3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2" borderId="5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2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2" borderId="7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2" borderId="8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4" fillId="2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3" borderId="1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0" fillId="3" borderId="11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3" borderId="1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3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0" fillId="3" borderId="5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3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6" fillId="3" borderId="7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0" fillId="3" borderId="8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3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7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0" fillId="3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4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4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4" borderId="13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4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9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4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4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0" fillId="4" borderId="12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4" borderId="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4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0" fillId="4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4" borderId="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4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0" fillId="4" borderId="13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4" borderId="9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C5000B"/>
      <rgbColor rgb="FF00FF00"/>
      <rgbColor rgb="FF0000FF"/>
      <rgbColor rgb="FFFFD320"/>
      <rgbColor rgb="FFFF00FF"/>
      <rgbColor rgb="FF00FFFF"/>
      <rgbColor rgb="FF7E0021"/>
      <rgbColor rgb="FF008000"/>
      <rgbColor rgb="FF000080"/>
      <rgbColor rgb="FF808000"/>
      <rgbColor rgb="FF800080"/>
      <rgbColor rgb="FF008080"/>
      <rgbColor rgb="FFB3CAC7"/>
      <rgbColor rgb="FF808080"/>
      <rgbColor rgb="FF9999FF"/>
      <rgbColor rgb="FF993366"/>
      <rgbColor rgb="FFFFFFCC"/>
      <rgbColor rgb="FFCCFFFF"/>
      <rgbColor rgb="FF660066"/>
      <rgbColor rgb="FFFF8080"/>
      <rgbColor rgb="FF0084D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E8F2A1"/>
      <rgbColor rgb="FF83CAFF"/>
      <rgbColor rgb="FFFF99CC"/>
      <rgbColor rgb="FFCC99FF"/>
      <rgbColor rgb="FFFFCC99"/>
      <rgbColor rgb="FF3366FF"/>
      <rgbColor rgb="FF33CCCC"/>
      <rgbColor rgb="FFAECF00"/>
      <rgbColor rgb="FFFFBF00"/>
      <rgbColor rgb="FFFF950E"/>
      <rgbColor rgb="FFFF420E"/>
      <rgbColor rgb="FF666699"/>
      <rgbColor rgb="FFB3B3B3"/>
      <rgbColor rgb="FF004586"/>
      <rgbColor rgb="FF579D1C"/>
      <rgbColor rgb="FF003300"/>
      <rgbColor rgb="FF314004"/>
      <rgbColor rgb="FF993300"/>
      <rgbColor rgb="FF993366"/>
      <rgbColor rgb="FF4B1F6F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layoutTarget val="inner"/>
          <c:xMode val="edge"/>
          <c:yMode val="edge"/>
          <c:x val="0.064480033568781"/>
          <c:y val="0.0172242464392183"/>
          <c:w val="0.89614658367718"/>
          <c:h val="0.811361377939715"/>
        </c:manualLayout>
      </c:layout>
      <c:scatterChart>
        <c:scatterStyle val="line"/>
        <c:varyColors val="0"/>
        <c:ser>
          <c:idx val="0"/>
          <c:order val="0"/>
          <c:tx>
            <c:strRef>
              <c:f>Sheet2!$K$1:$K$1</c:f>
              <c:strCache>
                <c:ptCount val="1"/>
                <c:pt idx="0">
                  <c:v>Mol Fraction Acetone in Vapor, yA</c:v>
                </c:pt>
              </c:strCache>
            </c:strRef>
          </c:tx>
          <c:spPr>
            <a:solidFill>
              <a:srgbClr val="004586"/>
            </a:solidFill>
            <a:ln w="28800">
              <a:solidFill>
                <a:srgbClr val="004586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Sheet2!$J$2:$J$15</c:f>
              <c:numCache>
                <c:formatCode>General</c:formatCode>
                <c:ptCount val="14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  <c:pt idx="6">
                  <c:v>0.4</c:v>
                </c:pt>
                <c:pt idx="7">
                  <c:v>0.5</c:v>
                </c:pt>
                <c:pt idx="8">
                  <c:v>0.6</c:v>
                </c:pt>
                <c:pt idx="9">
                  <c:v>0.7</c:v>
                </c:pt>
                <c:pt idx="10">
                  <c:v>0.8</c:v>
                </c:pt>
                <c:pt idx="11">
                  <c:v>0.9</c:v>
                </c:pt>
                <c:pt idx="12">
                  <c:v>0.95</c:v>
                </c:pt>
                <c:pt idx="13">
                  <c:v>1</c:v>
                </c:pt>
              </c:numCache>
            </c:numRef>
          </c:xVal>
          <c:yVal>
            <c:numRef>
              <c:f>Sheet2!$K$2:$K$15</c:f>
              <c:numCache>
                <c:formatCode>General</c:formatCode>
                <c:ptCount val="14"/>
                <c:pt idx="0">
                  <c:v>0</c:v>
                </c:pt>
                <c:pt idx="1">
                  <c:v>0.6381</c:v>
                </c:pt>
                <c:pt idx="2">
                  <c:v>0.7301</c:v>
                </c:pt>
                <c:pt idx="3">
                  <c:v>0.7716</c:v>
                </c:pt>
                <c:pt idx="4">
                  <c:v>0.7916</c:v>
                </c:pt>
                <c:pt idx="5">
                  <c:v>0.8124</c:v>
                </c:pt>
                <c:pt idx="6">
                  <c:v>0.8269</c:v>
                </c:pt>
                <c:pt idx="7">
                  <c:v>0.8387</c:v>
                </c:pt>
                <c:pt idx="8">
                  <c:v>0.8532</c:v>
                </c:pt>
                <c:pt idx="9">
                  <c:v>0.8712</c:v>
                </c:pt>
                <c:pt idx="10">
                  <c:v>0.895</c:v>
                </c:pt>
                <c:pt idx="11">
                  <c:v>0.9335</c:v>
                </c:pt>
                <c:pt idx="12">
                  <c:v>0.9627</c:v>
                </c:pt>
                <c:pt idx="13">
                  <c:v>1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Sheet2!$A$1:$A$1</c:f>
              <c:strCache>
                <c:ptCount val="1"/>
                <c:pt idx="0">
                  <c:v>Given</c:v>
                </c:pt>
              </c:strCache>
            </c:strRef>
          </c:tx>
          <c:spPr>
            <a:solidFill>
              <a:srgbClr val="000000"/>
            </a:solidFill>
            <a:ln w="0">
              <a:solidFill>
                <a:srgbClr val="000000"/>
              </a:solidFill>
              <a:custDash>
                <a:ds d="300000" sp="300000"/>
              </a:custDash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Sheet2!$L$2:$L$3</c:f>
              <c:numCache>
                <c:formatCode>General</c:formatCode>
                <c:ptCount val="2"/>
                <c:pt idx="0">
                  <c:v>0.96</c:v>
                </c:pt>
                <c:pt idx="1">
                  <c:v>0.96</c:v>
                </c:pt>
              </c:numCache>
            </c:numRef>
          </c:xVal>
          <c:yVal>
            <c:numRef>
              <c:f>Sheet2!$M$2:$M$3</c:f>
              <c:numCache>
                <c:formatCode>General</c:formatCode>
                <c:ptCount val="2"/>
                <c:pt idx="0">
                  <c:v>0</c:v>
                </c:pt>
                <c:pt idx="1">
                  <c:v>0.96</c:v>
                </c:pt>
              </c:numCache>
            </c:numRef>
          </c:yVal>
          <c:smooth val="1"/>
        </c:ser>
        <c:ser>
          <c:idx val="2"/>
          <c:order val="2"/>
          <c:tx>
            <c:strRef>
              <c:f>Sheet2!$A$1:$A$1</c:f>
              <c:strCache>
                <c:ptCount val="1"/>
                <c:pt idx="0">
                  <c:v>Given</c:v>
                </c:pt>
              </c:strCache>
            </c:strRef>
          </c:tx>
          <c:spPr>
            <a:solidFill>
              <a:srgbClr val="000000"/>
            </a:solidFill>
            <a:ln w="0">
              <a:solidFill>
                <a:srgbClr val="000000"/>
              </a:solidFill>
              <a:custDash>
                <a:ds d="300000" sp="300000"/>
              </a:custDash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Sheet2!$N$2:$N$3</c:f>
              <c:numCache>
                <c:formatCode>General</c:formatCode>
                <c:ptCount val="2"/>
                <c:pt idx="0">
                  <c:v>0.02</c:v>
                </c:pt>
                <c:pt idx="1">
                  <c:v>0.02</c:v>
                </c:pt>
              </c:numCache>
            </c:numRef>
          </c:xVal>
          <c:yVal>
            <c:numRef>
              <c:f>Sheet2!$O$2:$O$3</c:f>
              <c:numCache>
                <c:formatCode>General</c:formatCode>
                <c:ptCount val="2"/>
                <c:pt idx="0">
                  <c:v>0</c:v>
                </c:pt>
                <c:pt idx="1">
                  <c:v>0.02</c:v>
                </c:pt>
              </c:numCache>
            </c:numRef>
          </c:yVal>
          <c:smooth val="1"/>
        </c:ser>
        <c:ser>
          <c:idx val="3"/>
          <c:order val="3"/>
          <c:tx>
            <c:strRef>
              <c:f>Sheet2!$A$1:$A$1</c:f>
              <c:strCache>
                <c:ptCount val="1"/>
                <c:pt idx="0">
                  <c:v>Given</c:v>
                </c:pt>
              </c:strCache>
            </c:strRef>
          </c:tx>
          <c:spPr>
            <a:solidFill>
              <a:srgbClr val="000000"/>
            </a:solidFill>
            <a:ln w="0">
              <a:solidFill>
                <a:srgbClr val="000000"/>
              </a:solidFill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Sheet2!$G$2:$G$15</c:f>
              <c:numCache>
                <c:formatCode>General</c:formatCode>
                <c:ptCount val="14"/>
                <c:pt idx="0">
                  <c:v>0</c:v>
                </c:pt>
                <c:pt idx="1">
                  <c:v>0.0714285714285714</c:v>
                </c:pt>
                <c:pt idx="2">
                  <c:v>0.142857142857143</c:v>
                </c:pt>
                <c:pt idx="3">
                  <c:v>0.214285714285714</c:v>
                </c:pt>
                <c:pt idx="4">
                  <c:v>0.285714285714286</c:v>
                </c:pt>
                <c:pt idx="5">
                  <c:v>0.357142857142857</c:v>
                </c:pt>
                <c:pt idx="6">
                  <c:v>0.428571428571429</c:v>
                </c:pt>
                <c:pt idx="7">
                  <c:v>0.5</c:v>
                </c:pt>
                <c:pt idx="8">
                  <c:v>0.571428571428571</c:v>
                </c:pt>
                <c:pt idx="9">
                  <c:v>0.642857142857143</c:v>
                </c:pt>
                <c:pt idx="10">
                  <c:v>0.714285714285714</c:v>
                </c:pt>
                <c:pt idx="11">
                  <c:v>0.785714285714286</c:v>
                </c:pt>
                <c:pt idx="12">
                  <c:v>0.857142857142857</c:v>
                </c:pt>
                <c:pt idx="13">
                  <c:v>1</c:v>
                </c:pt>
              </c:numCache>
            </c:numRef>
          </c:xVal>
          <c:yVal>
            <c:numRef>
              <c:f>Sheet2!$H$2:$H$15</c:f>
              <c:numCache>
                <c:formatCode>General</c:formatCode>
                <c:ptCount val="14"/>
                <c:pt idx="0">
                  <c:v>0</c:v>
                </c:pt>
                <c:pt idx="1">
                  <c:v>0.0714285714285714</c:v>
                </c:pt>
                <c:pt idx="2">
                  <c:v>0.142857142857143</c:v>
                </c:pt>
                <c:pt idx="3">
                  <c:v>0.214285714285714</c:v>
                </c:pt>
                <c:pt idx="4">
                  <c:v>0.285714285714286</c:v>
                </c:pt>
                <c:pt idx="5">
                  <c:v>0.357142857142857</c:v>
                </c:pt>
                <c:pt idx="6">
                  <c:v>0.428571428571429</c:v>
                </c:pt>
                <c:pt idx="7">
                  <c:v>0.5</c:v>
                </c:pt>
                <c:pt idx="8">
                  <c:v>0.571428571428571</c:v>
                </c:pt>
                <c:pt idx="9">
                  <c:v>0.642857142857143</c:v>
                </c:pt>
                <c:pt idx="10">
                  <c:v>0.714285714285714</c:v>
                </c:pt>
                <c:pt idx="11">
                  <c:v>0.785714285714286</c:v>
                </c:pt>
                <c:pt idx="12">
                  <c:v>0.857142857142857</c:v>
                </c:pt>
                <c:pt idx="13">
                  <c:v>1</c:v>
                </c:pt>
              </c:numCache>
            </c:numRef>
          </c:yVal>
          <c:smooth val="1"/>
        </c:ser>
        <c:ser>
          <c:idx val="4"/>
          <c:order val="4"/>
          <c:tx>
            <c:strRef>
              <c:f>Sheet2!$A$1:$A$1</c:f>
              <c:strCache>
                <c:ptCount val="1"/>
                <c:pt idx="0">
                  <c:v>Given</c:v>
                </c:pt>
              </c:strCache>
            </c:strRef>
          </c:tx>
          <c:spPr>
            <a:solidFill>
              <a:srgbClr val="7e0021"/>
            </a:solidFill>
            <a:ln w="0">
              <a:solidFill>
                <a:srgbClr val="7e0021"/>
              </a:solidFill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Sheet2!$I$67:$I$129</c:f>
              <c:numCache>
                <c:formatCode>General</c:formatCode>
                <c:ptCount val="63"/>
                <c:pt idx="0">
                  <c:v>0.676760273810743</c:v>
                </c:pt>
                <c:pt idx="1">
                  <c:v>0.67536342478983</c:v>
                </c:pt>
                <c:pt idx="2">
                  <c:v>0.673952729847339</c:v>
                </c:pt>
                <c:pt idx="3">
                  <c:v>0.672527982091461</c:v>
                </c:pt>
                <c:pt idx="4">
                  <c:v>0.671088970487799</c:v>
                </c:pt>
                <c:pt idx="5">
                  <c:v>0.669635479755156</c:v>
                </c:pt>
                <c:pt idx="6">
                  <c:v>0.668167290258175</c:v>
                </c:pt>
                <c:pt idx="7">
                  <c:v>0.666684177896695</c:v>
                </c:pt>
                <c:pt idx="8">
                  <c:v>0.665185913991719</c:v>
                </c:pt>
                <c:pt idx="9">
                  <c:v>0.663672265167873</c:v>
                </c:pt>
                <c:pt idx="10">
                  <c:v>0.662142993232217</c:v>
                </c:pt>
                <c:pt idx="11">
                  <c:v>0.660597855049294</c:v>
                </c:pt>
                <c:pt idx="12">
                  <c:v>0.659036602412261</c:v>
                </c:pt>
                <c:pt idx="13">
                  <c:v>0.657458981909971</c:v>
                </c:pt>
                <c:pt idx="14">
                  <c:v>0.655864734789853</c:v>
                </c:pt>
                <c:pt idx="15">
                  <c:v>0.654253596816435</c:v>
                </c:pt>
                <c:pt idx="16">
                  <c:v>0.652625298125337</c:v>
                </c:pt>
                <c:pt idx="17">
                  <c:v>0.650979563072586</c:v>
                </c:pt>
                <c:pt idx="18">
                  <c:v>0.64931611007906</c:v>
                </c:pt>
                <c:pt idx="19">
                  <c:v>0.647634651469873</c:v>
                </c:pt>
                <c:pt idx="20">
                  <c:v>0.645934893308527</c:v>
                </c:pt>
                <c:pt idx="21">
                  <c:v>0.644216535225616</c:v>
                </c:pt>
                <c:pt idx="22">
                  <c:v>0.642479270241869</c:v>
                </c:pt>
                <c:pt idx="23">
                  <c:v>0.640722784585331</c:v>
                </c:pt>
                <c:pt idx="24">
                  <c:v>0.638946757502433</c:v>
                </c:pt>
                <c:pt idx="25">
                  <c:v>0.637150861062726</c:v>
                </c:pt>
                <c:pt idx="26">
                  <c:v>0.635334759957021</c:v>
                </c:pt>
                <c:pt idx="27">
                  <c:v>0.633498111288682</c:v>
                </c:pt>
                <c:pt idx="28">
                  <c:v>0.631640564357792</c:v>
                </c:pt>
                <c:pt idx="29">
                  <c:v>0.629761760437905</c:v>
                </c:pt>
                <c:pt idx="30">
                  <c:v>0.6278613325451</c:v>
                </c:pt>
                <c:pt idx="31">
                  <c:v>0.625938905199004</c:v>
                </c:pt>
                <c:pt idx="32">
                  <c:v>0.623994094175474</c:v>
                </c:pt>
                <c:pt idx="33">
                  <c:v>0.622026506250587</c:v>
                </c:pt>
                <c:pt idx="34">
                  <c:v>0.620035738935585</c:v>
                </c:pt>
                <c:pt idx="35">
                  <c:v>0.618021380202389</c:v>
                </c:pt>
                <c:pt idx="36">
                  <c:v>0.615983008199309</c:v>
                </c:pt>
                <c:pt idx="37">
                  <c:v>0.613920190956515</c:v>
                </c:pt>
                <c:pt idx="38">
                  <c:v>0.611832486080852</c:v>
                </c:pt>
                <c:pt idx="39">
                  <c:v>0.609719440439543</c:v>
                </c:pt>
                <c:pt idx="40">
                  <c:v>0.607580589832303</c:v>
                </c:pt>
                <c:pt idx="41">
                  <c:v>0.605415458651362</c:v>
                </c:pt>
                <c:pt idx="42">
                  <c:v>0.603223559528889</c:v>
                </c:pt>
                <c:pt idx="43">
                  <c:v>0.601004392971246</c:v>
                </c:pt>
                <c:pt idx="44">
                  <c:v>0.598757446979515</c:v>
                </c:pt>
                <c:pt idx="45">
                  <c:v>0.596482196655681</c:v>
                </c:pt>
                <c:pt idx="46">
                  <c:v>0.594178103793837</c:v>
                </c:pt>
                <c:pt idx="47">
                  <c:v>0.591844616455748</c:v>
                </c:pt>
                <c:pt idx="48">
                  <c:v>0.589481168530064</c:v>
                </c:pt>
                <c:pt idx="49">
                  <c:v>0.587087179274439</c:v>
                </c:pt>
                <c:pt idx="50">
                  <c:v>0.5846620528398</c:v>
                </c:pt>
                <c:pt idx="51">
                  <c:v>0.58220517777591</c:v>
                </c:pt>
                <c:pt idx="52">
                  <c:v>0.579715926517403</c:v>
                </c:pt>
                <c:pt idx="53">
                  <c:v>0.577193654849356</c:v>
                </c:pt>
                <c:pt idx="54">
                  <c:v>0.574637701351453</c:v>
                </c:pt>
                <c:pt idx="55">
                  <c:v>0.572047386819732</c:v>
                </c:pt>
                <c:pt idx="56">
                  <c:v>0.569422013664853</c:v>
                </c:pt>
                <c:pt idx="57">
                  <c:v>0.566760865285767</c:v>
                </c:pt>
                <c:pt idx="58">
                  <c:v>0.564063205417607</c:v>
                </c:pt>
                <c:pt idx="59">
                  <c:v>0.561328277452546</c:v>
                </c:pt>
                <c:pt idx="60">
                  <c:v>0.558555303732318</c:v>
                </c:pt>
                <c:pt idx="61">
                  <c:v>0.555743484811009</c:v>
                </c:pt>
                <c:pt idx="62">
                  <c:v>0.552891998686639</c:v>
                </c:pt>
              </c:numCache>
            </c:numRef>
          </c:xVal>
          <c:yVal>
            <c:numRef>
              <c:f>Sheet2!$J$67:$J$129</c:f>
              <c:numCache>
                <c:formatCode>General</c:formatCode>
                <c:ptCount val="63"/>
                <c:pt idx="0">
                  <c:v>0.855201301309975</c:v>
                </c:pt>
                <c:pt idx="1">
                  <c:v>0.851838101420135</c:v>
                </c:pt>
                <c:pt idx="2">
                  <c:v>0.848441564640462</c:v>
                </c:pt>
                <c:pt idx="3">
                  <c:v>0.845011192836585</c:v>
                </c:pt>
                <c:pt idx="4">
                  <c:v>0.841546477899998</c:v>
                </c:pt>
                <c:pt idx="5">
                  <c:v>0.838046901497165</c:v>
                </c:pt>
                <c:pt idx="6">
                  <c:v>0.834511934811015</c:v>
                </c:pt>
                <c:pt idx="7">
                  <c:v>0.830941038274545</c:v>
                </c:pt>
                <c:pt idx="8">
                  <c:v>0.827333661296273</c:v>
                </c:pt>
                <c:pt idx="9">
                  <c:v>0.823689241977221</c:v>
                </c:pt>
                <c:pt idx="10">
                  <c:v>0.820007206819142</c:v>
                </c:pt>
                <c:pt idx="11">
                  <c:v>0.816286970423661</c:v>
                </c:pt>
                <c:pt idx="12">
                  <c:v>0.812527935182008</c:v>
                </c:pt>
                <c:pt idx="13">
                  <c:v>0.808729490954985</c:v>
                </c:pt>
                <c:pt idx="14">
                  <c:v>0.804891014742825</c:v>
                </c:pt>
                <c:pt idx="15">
                  <c:v>0.801011870344546</c:v>
                </c:pt>
                <c:pt idx="16">
                  <c:v>0.797091408006428</c:v>
                </c:pt>
                <c:pt idx="17">
                  <c:v>0.793128964059197</c:v>
                </c:pt>
                <c:pt idx="18">
                  <c:v>0.789123860543483</c:v>
                </c:pt>
                <c:pt idx="19">
                  <c:v>0.785075404823129</c:v>
                </c:pt>
                <c:pt idx="20">
                  <c:v>0.78098288918586</c:v>
                </c:pt>
                <c:pt idx="21">
                  <c:v>0.776845590430857</c:v>
                </c:pt>
                <c:pt idx="22">
                  <c:v>0.772662769442703</c:v>
                </c:pt>
                <c:pt idx="23">
                  <c:v>0.768433670751199</c:v>
                </c:pt>
                <c:pt idx="24">
                  <c:v>0.764157522076484</c:v>
                </c:pt>
                <c:pt idx="25">
                  <c:v>0.75983353385889</c:v>
                </c:pt>
                <c:pt idx="26">
                  <c:v>0.755460898772923</c:v>
                </c:pt>
                <c:pt idx="27">
                  <c:v>0.751038791224757</c:v>
                </c:pt>
                <c:pt idx="28">
                  <c:v>0.746566366832565</c:v>
                </c:pt>
                <c:pt idx="29">
                  <c:v>0.742042761889018</c:v>
                </c:pt>
                <c:pt idx="30">
                  <c:v>0.737467092805217</c:v>
                </c:pt>
                <c:pt idx="31">
                  <c:v>0.732838455535323</c:v>
                </c:pt>
                <c:pt idx="32">
                  <c:v>0.728155924981077</c:v>
                </c:pt>
                <c:pt idx="33">
                  <c:v>0.723418554375411</c:v>
                </c:pt>
                <c:pt idx="34">
                  <c:v>0.718625374644265</c:v>
                </c:pt>
                <c:pt idx="35">
                  <c:v>0.71377539374572</c:v>
                </c:pt>
                <c:pt idx="36">
                  <c:v>0.708867595985496</c:v>
                </c:pt>
                <c:pt idx="37">
                  <c:v>0.703900941307821</c:v>
                </c:pt>
                <c:pt idx="38">
                  <c:v>0.698874364560639</c:v>
                </c:pt>
                <c:pt idx="39">
                  <c:v>0.693786774734053</c:v>
                </c:pt>
                <c:pt idx="40">
                  <c:v>0.688637054170873</c:v>
                </c:pt>
                <c:pt idx="41">
                  <c:v>0.683424057748062</c:v>
                </c:pt>
                <c:pt idx="42">
                  <c:v>0.678146612027822</c:v>
                </c:pt>
                <c:pt idx="43">
                  <c:v>0.672803514376997</c:v>
                </c:pt>
                <c:pt idx="44">
                  <c:v>0.667393532053407</c:v>
                </c:pt>
                <c:pt idx="45">
                  <c:v>0.661915401257658</c:v>
                </c:pt>
                <c:pt idx="46">
                  <c:v>0.656367826148884</c:v>
                </c:pt>
                <c:pt idx="47">
                  <c:v>0.650749477822828</c:v>
                </c:pt>
                <c:pt idx="48">
                  <c:v>0.645058993250554</c:v>
                </c:pt>
                <c:pt idx="49">
                  <c:v>0.639294974176018</c:v>
                </c:pt>
                <c:pt idx="50">
                  <c:v>0.633455985970626</c:v>
                </c:pt>
                <c:pt idx="51">
                  <c:v>0.627540556442801</c:v>
                </c:pt>
                <c:pt idx="52">
                  <c:v>0.621547174600489</c:v>
                </c:pt>
                <c:pt idx="53">
                  <c:v>0.61547428936442</c:v>
                </c:pt>
                <c:pt idx="54">
                  <c:v>0.609320308229822</c:v>
                </c:pt>
                <c:pt idx="55">
                  <c:v>0.603083595874153</c:v>
                </c:pt>
                <c:pt idx="56">
                  <c:v>0.596762472708313</c:v>
                </c:pt>
                <c:pt idx="57">
                  <c:v>0.590355213368621</c:v>
                </c:pt>
                <c:pt idx="58">
                  <c:v>0.583860045146727</c:v>
                </c:pt>
                <c:pt idx="59">
                  <c:v>0.577275146354444</c:v>
                </c:pt>
                <c:pt idx="60">
                  <c:v>0.570598644620349</c:v>
                </c:pt>
                <c:pt idx="61">
                  <c:v>0.563828615114789</c:v>
                </c:pt>
                <c:pt idx="62">
                  <c:v>0.556963078699773</c:v>
                </c:pt>
              </c:numCache>
            </c:numRef>
          </c:yVal>
          <c:smooth val="1"/>
        </c:ser>
        <c:ser>
          <c:idx val="5"/>
          <c:order val="5"/>
          <c:tx>
            <c:strRef>
              <c:f>Sheet2!$A$1:$A$1</c:f>
              <c:strCache>
                <c:ptCount val="1"/>
                <c:pt idx="0">
                  <c:v>Given</c:v>
                </c:pt>
              </c:strCache>
            </c:strRef>
          </c:tx>
          <c:spPr>
            <a:solidFill>
              <a:srgbClr val="83caff"/>
            </a:solidFill>
            <a:ln w="0">
              <a:solidFill>
                <a:srgbClr val="83caff"/>
              </a:solidFill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Sheet2!$R$2:$R$3</c:f>
              <c:numCache>
                <c:formatCode>General</c:formatCode>
                <c:ptCount val="2"/>
                <c:pt idx="0">
                  <c:v>0.96</c:v>
                </c:pt>
                <c:pt idx="1">
                  <c:v>0.66075439369462</c:v>
                </c:pt>
              </c:numCache>
            </c:numRef>
          </c:xVal>
          <c:yVal>
            <c:numRef>
              <c:f>Sheet2!$S$2:$S$3</c:f>
              <c:numCache>
                <c:formatCode>General</c:formatCode>
                <c:ptCount val="2"/>
                <c:pt idx="0">
                  <c:v>0.96</c:v>
                </c:pt>
                <c:pt idx="1">
                  <c:v>0.816663869248684</c:v>
                </c:pt>
              </c:numCache>
            </c:numRef>
          </c:yVal>
          <c:smooth val="1"/>
        </c:ser>
        <c:ser>
          <c:idx val="6"/>
          <c:order val="6"/>
          <c:tx>
            <c:strRef>
              <c:f>Sheet2!$A$1:$A$1</c:f>
              <c:strCache>
                <c:ptCount val="1"/>
                <c:pt idx="0">
                  <c:v>Given</c:v>
                </c:pt>
              </c:strCache>
            </c:strRef>
          </c:tx>
          <c:spPr>
            <a:solidFill>
              <a:srgbClr val="314004"/>
            </a:solidFill>
            <a:ln w="0">
              <a:solidFill>
                <a:srgbClr val="314004"/>
              </a:solidFill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Sheet2!$T$2:$T$3</c:f>
              <c:numCache>
                <c:formatCode>General</c:formatCode>
                <c:ptCount val="2"/>
                <c:pt idx="0">
                  <c:v>0.02</c:v>
                </c:pt>
                <c:pt idx="1">
                  <c:v>0.66075439369462</c:v>
                </c:pt>
              </c:numCache>
            </c:numRef>
          </c:xVal>
          <c:yVal>
            <c:numRef>
              <c:f>Sheet2!$U$2:$U$3</c:f>
              <c:numCache>
                <c:formatCode>General</c:formatCode>
                <c:ptCount val="2"/>
                <c:pt idx="0">
                  <c:v>0.02</c:v>
                </c:pt>
                <c:pt idx="1">
                  <c:v>0.816663869248684</c:v>
                </c:pt>
              </c:numCache>
            </c:numRef>
          </c:yVal>
          <c:smooth val="1"/>
        </c:ser>
        <c:ser>
          <c:idx val="7"/>
          <c:order val="7"/>
          <c:tx>
            <c:strRef>
              <c:f>Sheet2!$A$1:$A$1</c:f>
              <c:strCache>
                <c:ptCount val="1"/>
                <c:pt idx="0">
                  <c:v>Given</c:v>
                </c:pt>
              </c:strCache>
            </c:strRef>
          </c:tx>
          <c:spPr>
            <a:solidFill>
              <a:srgbClr val="aecf00"/>
            </a:solidFill>
            <a:ln w="28800">
              <a:solidFill>
                <a:srgbClr val="aecf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Sheet2!$S$31:$S$32</c:f>
              <c:numCache>
                <c:formatCode>General</c:formatCode>
                <c:ptCount val="2"/>
              </c:numCache>
            </c:numRef>
          </c:xVal>
          <c:yVal>
            <c:numRef>
              <c:f>Sheet2!$Q$32:$R$32</c:f>
              <c:numCache>
                <c:formatCode>General</c:formatCode>
                <c:ptCount val="2"/>
              </c:numCache>
            </c:numRef>
          </c:yVal>
          <c:smooth val="1"/>
        </c:ser>
        <c:ser>
          <c:idx val="8"/>
          <c:order val="8"/>
          <c:tx>
            <c:strRef>
              <c:f>Sheet2!$A$1:$A$1</c:f>
              <c:strCache>
                <c:ptCount val="1"/>
                <c:pt idx="0">
                  <c:v>Given</c:v>
                </c:pt>
              </c:strCache>
            </c:strRef>
          </c:tx>
          <c:spPr>
            <a:solidFill>
              <a:srgbClr val="4b1f6f"/>
            </a:solidFill>
            <a:ln w="28800">
              <a:solidFill>
                <a:srgbClr val="4b1f6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Sheet2!$S$32:$T$32</c:f>
              <c:numCache>
                <c:formatCode>General</c:formatCode>
                <c:ptCount val="2"/>
              </c:numCache>
            </c:numRef>
          </c:xVal>
          <c:yVal>
            <c:numRef>
              <c:f>Sheet2!$R$32:$R$33</c:f>
              <c:numCache>
                <c:formatCode>General</c:formatCode>
                <c:ptCount val="2"/>
              </c:numCache>
            </c:numRef>
          </c:yVal>
          <c:smooth val="1"/>
        </c:ser>
        <c:ser>
          <c:idx val="9"/>
          <c:order val="9"/>
          <c:tx>
            <c:strRef>
              <c:f>Sheet2!$A$1:$A$1</c:f>
              <c:strCache>
                <c:ptCount val="1"/>
                <c:pt idx="0">
                  <c:v>Given</c:v>
                </c:pt>
              </c:strCache>
            </c:strRef>
          </c:tx>
          <c:spPr>
            <a:solidFill>
              <a:srgbClr val="ff950e"/>
            </a:solidFill>
            <a:ln w="28800">
              <a:solidFill>
                <a:srgbClr val="ff950e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Sheet2!$S$32:$S$33</c:f>
              <c:numCache>
                <c:formatCode>General</c:formatCode>
                <c:ptCount val="2"/>
              </c:numCache>
            </c:numRef>
          </c:xVal>
          <c:yVal>
            <c:numRef>
              <c:f>Sheet2!$Q$33:$R$33</c:f>
              <c:numCache>
                <c:formatCode>General</c:formatCode>
                <c:ptCount val="2"/>
              </c:numCache>
            </c:numRef>
          </c:yVal>
          <c:smooth val="1"/>
        </c:ser>
        <c:ser>
          <c:idx val="10"/>
          <c:order val="10"/>
          <c:tx>
            <c:strRef>
              <c:f>Sheet2!$A$1:$A$1</c:f>
              <c:strCache>
                <c:ptCount val="1"/>
                <c:pt idx="0">
                  <c:v>Given</c:v>
                </c:pt>
              </c:strCache>
            </c:strRef>
          </c:tx>
          <c:spPr>
            <a:solidFill>
              <a:srgbClr val="c5000b"/>
            </a:solidFill>
            <a:ln w="28800">
              <a:solidFill>
                <a:srgbClr val="c5000b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Sheet2!$S$33:$T$33</c:f>
              <c:numCache>
                <c:formatCode>General</c:formatCode>
                <c:ptCount val="2"/>
              </c:numCache>
            </c:numRef>
          </c:xVal>
          <c:yVal>
            <c:numRef>
              <c:f>Sheet2!$R$33:$R$34</c:f>
              <c:numCache>
                <c:formatCode>General</c:formatCode>
                <c:ptCount val="2"/>
              </c:numCache>
            </c:numRef>
          </c:yVal>
          <c:smooth val="1"/>
        </c:ser>
        <c:ser>
          <c:idx val="11"/>
          <c:order val="11"/>
          <c:tx>
            <c:strRef>
              <c:f>Sheet2!$A$1:$A$1</c:f>
              <c:strCache>
                <c:ptCount val="1"/>
                <c:pt idx="0">
                  <c:v>Given</c:v>
                </c:pt>
              </c:strCache>
            </c:strRef>
          </c:tx>
          <c:spPr>
            <a:solidFill>
              <a:srgbClr val="0084d1"/>
            </a:solidFill>
            <a:ln w="28800">
              <a:solidFill>
                <a:srgbClr val="0084d1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Sheet2!$S$33:$S$34</c:f>
              <c:numCache>
                <c:formatCode>General</c:formatCode>
                <c:ptCount val="2"/>
              </c:numCache>
            </c:numRef>
          </c:xVal>
          <c:yVal>
            <c:numRef>
              <c:f>Sheet2!$Q$34:$R$34</c:f>
              <c:numCache>
                <c:formatCode>General</c:formatCode>
                <c:ptCount val="2"/>
              </c:numCache>
            </c:numRef>
          </c:yVal>
          <c:smooth val="1"/>
        </c:ser>
        <c:ser>
          <c:idx val="12"/>
          <c:order val="12"/>
          <c:tx>
            <c:strRef>
              <c:f>Sheet2!$A$1:$A$1</c:f>
              <c:strCache>
                <c:ptCount val="1"/>
                <c:pt idx="0">
                  <c:v>Given</c:v>
                </c:pt>
              </c:strCache>
            </c:strRef>
          </c:tx>
          <c:spPr>
            <a:solidFill>
              <a:srgbClr val="004586"/>
            </a:solidFill>
            <a:ln w="28800">
              <a:solidFill>
                <a:srgbClr val="004586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Sheet2!$S$34:$T$34</c:f>
              <c:numCache>
                <c:formatCode>General</c:formatCode>
                <c:ptCount val="2"/>
              </c:numCache>
            </c:numRef>
          </c:xVal>
          <c:yVal>
            <c:numRef>
              <c:f>Sheet2!$R$34:$R$35</c:f>
              <c:numCache>
                <c:formatCode>General</c:formatCode>
                <c:ptCount val="2"/>
              </c:numCache>
            </c:numRef>
          </c:yVal>
          <c:smooth val="1"/>
        </c:ser>
        <c:ser>
          <c:idx val="13"/>
          <c:order val="13"/>
          <c:tx>
            <c:strRef>
              <c:f>Sheet2!$A$1:$A$1</c:f>
              <c:strCache>
                <c:ptCount val="1"/>
                <c:pt idx="0">
                  <c:v>Given</c:v>
                </c:pt>
              </c:strCache>
            </c:strRef>
          </c:tx>
          <c:spPr>
            <a:solidFill>
              <a:srgbClr val="ffd320"/>
            </a:solidFill>
            <a:ln w="28800">
              <a:solidFill>
                <a:srgbClr val="ffd32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Sheet2!$S$34:$S$35</c:f>
              <c:numCache>
                <c:formatCode>General</c:formatCode>
                <c:ptCount val="2"/>
              </c:numCache>
            </c:numRef>
          </c:xVal>
          <c:yVal>
            <c:numRef>
              <c:f>Sheet2!$Q$35:$R$35</c:f>
              <c:numCache>
                <c:formatCode>General</c:formatCode>
                <c:ptCount val="2"/>
              </c:numCache>
            </c:numRef>
          </c:yVal>
          <c:smooth val="1"/>
        </c:ser>
        <c:ser>
          <c:idx val="14"/>
          <c:order val="14"/>
          <c:tx>
            <c:strRef>
              <c:f>Sheet2!$A$1:$A$1</c:f>
              <c:strCache>
                <c:ptCount val="1"/>
                <c:pt idx="0">
                  <c:v>Given</c:v>
                </c:pt>
              </c:strCache>
            </c:strRef>
          </c:tx>
          <c:spPr>
            <a:solidFill>
              <a:srgbClr val="ff420e"/>
            </a:solidFill>
            <a:ln w="28800">
              <a:solidFill>
                <a:srgbClr val="ff420e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Sheet2!$S$35:$T$35</c:f>
              <c:numCache>
                <c:formatCode>General</c:formatCode>
                <c:ptCount val="2"/>
              </c:numCache>
            </c:numRef>
          </c:xVal>
          <c:yVal>
            <c:numRef>
              <c:f>Sheet2!$R$35:$R$36</c:f>
              <c:numCache>
                <c:formatCode>General</c:formatCode>
                <c:ptCount val="2"/>
              </c:numCache>
            </c:numRef>
          </c:yVal>
          <c:smooth val="1"/>
        </c:ser>
        <c:ser>
          <c:idx val="15"/>
          <c:order val="15"/>
          <c:tx>
            <c:strRef>
              <c:f>Sheet2!$A$1:$A$1</c:f>
              <c:strCache>
                <c:ptCount val="1"/>
                <c:pt idx="0">
                  <c:v>Given</c:v>
                </c:pt>
              </c:strCache>
            </c:strRef>
          </c:tx>
          <c:spPr>
            <a:solidFill>
              <a:srgbClr val="579d1c"/>
            </a:solidFill>
            <a:ln w="28800">
              <a:solidFill>
                <a:srgbClr val="579d1c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Sheet2!$S$35:$S$36</c:f>
              <c:numCache>
                <c:formatCode>General</c:formatCode>
                <c:ptCount val="2"/>
              </c:numCache>
            </c:numRef>
          </c:xVal>
          <c:yVal>
            <c:numRef>
              <c:f>Sheet2!$Q$36:$R$36</c:f>
              <c:numCache>
                <c:formatCode>General</c:formatCode>
                <c:ptCount val="2"/>
              </c:numCache>
            </c:numRef>
          </c:yVal>
          <c:smooth val="1"/>
        </c:ser>
        <c:ser>
          <c:idx val="16"/>
          <c:order val="16"/>
          <c:tx>
            <c:strRef>
              <c:f>Sheet2!$A$1:$A$1</c:f>
              <c:strCache>
                <c:ptCount val="1"/>
                <c:pt idx="0">
                  <c:v>Given</c:v>
                </c:pt>
              </c:strCache>
            </c:strRef>
          </c:tx>
          <c:spPr>
            <a:solidFill>
              <a:srgbClr val="7e0021"/>
            </a:solidFill>
            <a:ln w="28800">
              <a:solidFill>
                <a:srgbClr val="7e0021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Sheet2!$S$36:$T$36</c:f>
              <c:numCache>
                <c:formatCode>General</c:formatCode>
                <c:ptCount val="2"/>
              </c:numCache>
            </c:numRef>
          </c:xVal>
          <c:yVal>
            <c:numRef>
              <c:f>Sheet2!$R$36:$R$37</c:f>
              <c:numCache>
                <c:formatCode>General</c:formatCode>
                <c:ptCount val="2"/>
              </c:numCache>
            </c:numRef>
          </c:yVal>
          <c:smooth val="1"/>
        </c:ser>
        <c:ser>
          <c:idx val="17"/>
          <c:order val="17"/>
          <c:tx>
            <c:strRef>
              <c:f>Sheet2!$A$1:$A$1</c:f>
              <c:strCache>
                <c:ptCount val="1"/>
                <c:pt idx="0">
                  <c:v>Given</c:v>
                </c:pt>
              </c:strCache>
            </c:strRef>
          </c:tx>
          <c:spPr>
            <a:solidFill>
              <a:srgbClr val="83caff"/>
            </a:solidFill>
            <a:ln w="0">
              <a:solidFill>
                <a:srgbClr val="83caff"/>
              </a:solidFill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Sheet2!$S$47:$S$48</c:f>
              <c:numCache>
                <c:formatCode>General</c:formatCode>
                <c:ptCount val="2"/>
              </c:numCache>
            </c:numRef>
          </c:xVal>
          <c:yVal>
            <c:numRef>
              <c:f>Sheet2!$Q$48:$R$48</c:f>
              <c:numCache>
                <c:formatCode>General</c:formatCode>
                <c:ptCount val="2"/>
              </c:numCache>
            </c:numRef>
          </c:yVal>
          <c:smooth val="1"/>
        </c:ser>
        <c:ser>
          <c:idx val="18"/>
          <c:order val="18"/>
          <c:tx>
            <c:strRef>
              <c:f>Sheet2!$A$1:$A$1</c:f>
              <c:strCache>
                <c:ptCount val="1"/>
                <c:pt idx="0">
                  <c:v>Given</c:v>
                </c:pt>
              </c:strCache>
            </c:strRef>
          </c:tx>
          <c:spPr>
            <a:solidFill>
              <a:srgbClr val="314004"/>
            </a:solidFill>
            <a:ln w="28800">
              <a:solidFill>
                <a:srgbClr val="314004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Sheet2!$S$48:$T$48</c:f>
              <c:numCache>
                <c:formatCode>General</c:formatCode>
                <c:ptCount val="2"/>
              </c:numCache>
            </c:numRef>
          </c:xVal>
          <c:yVal>
            <c:numRef>
              <c:f>Sheet2!$R$48:$R$49</c:f>
              <c:numCache>
                <c:formatCode>General</c:formatCode>
                <c:ptCount val="2"/>
              </c:numCache>
            </c:numRef>
          </c:yVal>
          <c:smooth val="1"/>
        </c:ser>
        <c:axId val="12570833"/>
        <c:axId val="82812145"/>
      </c:scatterChart>
      <c:valAx>
        <c:axId val="12570833"/>
        <c:scaling>
          <c:orientation val="minMax"/>
          <c:max val="1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900" spc="-1" strike="noStrike">
                    <a:latin typeface="Arial"/>
                  </a:defRPr>
                </a:pPr>
                <a:r>
                  <a:rPr b="0" sz="900" spc="-1" strike="noStrike">
                    <a:latin typeface="Arial"/>
                  </a:rPr>
                  <a:t>Mole Fraction of Acetone in Liquid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82812145"/>
        <c:crossesAt val="0"/>
        <c:crossBetween val="midCat"/>
      </c:valAx>
      <c:valAx>
        <c:axId val="82812145"/>
        <c:scaling>
          <c:orientation val="minMax"/>
          <c:max val="1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900" spc="-1" strike="noStrike">
                    <a:latin typeface="Arial"/>
                  </a:defRPr>
                </a:pPr>
                <a:r>
                  <a:rPr b="0" sz="900" spc="-1" strike="noStrike">
                    <a:latin typeface="Arial"/>
                  </a:rPr>
                  <a:t>Mole Fraction of Acetone in Vapor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12570833"/>
        <c:crossesAt val="0"/>
        <c:crossBetween val="midCat"/>
      </c:valAx>
      <c:spPr>
        <a:noFill/>
        <a:ln w="0">
          <a:solidFill>
            <a:srgbClr val="b3b3b3"/>
          </a:solidFill>
        </a:ln>
      </c:spPr>
    </c:plotArea>
    <c:plotVisOnly val="1"/>
    <c:dispBlanksAs val="span"/>
  </c:chart>
  <c:spPr>
    <a:solidFill>
      <a:srgbClr val="ffffff"/>
    </a:solidFill>
    <a:ln w="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3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12</xdr:col>
      <xdr:colOff>38520</xdr:colOff>
      <xdr:row>4</xdr:row>
      <xdr:rowOff>-360</xdr:rowOff>
    </xdr:from>
    <xdr:to>
      <xdr:col>24</xdr:col>
      <xdr:colOff>138960</xdr:colOff>
      <xdr:row>25</xdr:row>
      <xdr:rowOff>124200</xdr:rowOff>
    </xdr:to>
    <xdr:graphicFrame>
      <xdr:nvGraphicFramePr>
        <xdr:cNvPr id="0" name=""/>
        <xdr:cNvGraphicFramePr/>
      </xdr:nvGraphicFramePr>
      <xdr:xfrm>
        <a:off x="10977480" y="819360"/>
        <a:ext cx="9869400" cy="36799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MJ129"/>
  <sheetViews>
    <sheetView showFormulas="false" showGridLines="true" showRowColHeaders="true" showZeros="true" rightToLeft="false" tabSelected="true" showOutlineSymbols="true" defaultGridColor="true" view="normal" topLeftCell="A1" colorId="64" zoomScale="75" zoomScaleNormal="75" zoomScalePageLayoutView="100" workbookViewId="0">
      <selection pane="topLeft" activeCell="E25" activeCellId="0" sqref="E25"/>
    </sheetView>
  </sheetViews>
  <sheetFormatPr defaultColWidth="11.55078125" defaultRowHeight="12.8" zeroHeight="false" outlineLevelRow="0" outlineLevelCol="0"/>
  <cols>
    <col collapsed="false" customWidth="true" hidden="false" outlineLevel="0" max="1" min="1" style="1" width="36.93"/>
    <col collapsed="false" customWidth="true" hidden="false" outlineLevel="0" max="2" min="2" style="2" width="7.68"/>
    <col collapsed="false" customWidth="true" hidden="false" outlineLevel="0" max="3" min="3" style="3" width="7.68"/>
    <col collapsed="false" customWidth="true" hidden="false" outlineLevel="0" max="5" min="4" style="2" width="6.75"/>
    <col collapsed="false" customWidth="true" hidden="false" outlineLevel="0" max="6" min="6" style="4" width="20.03"/>
    <col collapsed="false" customWidth="false" hidden="false" outlineLevel="0" max="1024" min="7" style="2" width="11.54"/>
  </cols>
  <sheetData>
    <row r="1" customFormat="false" ht="15" hidden="false" customHeight="false" outlineLevel="0" collapsed="false">
      <c r="A1" s="5" t="s">
        <v>0</v>
      </c>
      <c r="B1" s="6"/>
      <c r="C1" s="7" t="s">
        <v>1</v>
      </c>
      <c r="F1" s="8"/>
      <c r="G1" s="9" t="s">
        <v>2</v>
      </c>
      <c r="H1" s="9" t="s">
        <v>3</v>
      </c>
      <c r="I1" s="9" t="s">
        <v>4</v>
      </c>
      <c r="J1" s="9" t="s">
        <v>5</v>
      </c>
      <c r="K1" s="9" t="s">
        <v>6</v>
      </c>
      <c r="L1" s="10" t="s">
        <v>7</v>
      </c>
      <c r="M1" s="10"/>
      <c r="N1" s="10" t="s">
        <v>8</v>
      </c>
      <c r="O1" s="10"/>
      <c r="P1" s="10" t="s">
        <v>9</v>
      </c>
      <c r="Q1" s="10"/>
      <c r="R1" s="10" t="s">
        <v>10</v>
      </c>
      <c r="S1" s="10"/>
      <c r="T1" s="10" t="s">
        <v>11</v>
      </c>
      <c r="U1" s="10"/>
    </row>
    <row r="2" customFormat="false" ht="12.8" hidden="false" customHeight="false" outlineLevel="0" collapsed="false">
      <c r="A2" s="11" t="s">
        <v>12</v>
      </c>
      <c r="B2" s="12" t="n">
        <v>100</v>
      </c>
      <c r="C2" s="13" t="s">
        <v>13</v>
      </c>
      <c r="F2" s="8" t="n">
        <v>1</v>
      </c>
      <c r="G2" s="2" t="n">
        <v>0</v>
      </c>
      <c r="H2" s="2" t="n">
        <v>0</v>
      </c>
      <c r="I2" s="2" t="n">
        <v>100</v>
      </c>
      <c r="J2" s="2" t="n">
        <v>0</v>
      </c>
      <c r="K2" s="2" t="n">
        <v>0</v>
      </c>
      <c r="L2" s="2" t="n">
        <f aca="false">B4</f>
        <v>0.96</v>
      </c>
      <c r="M2" s="2" t="n">
        <v>0</v>
      </c>
      <c r="N2" s="2" t="n">
        <f aca="false">B5</f>
        <v>0.02</v>
      </c>
      <c r="O2" s="2" t="n">
        <v>0</v>
      </c>
      <c r="P2" s="2" t="n">
        <f aca="false">B3</f>
        <v>0.55</v>
      </c>
      <c r="Q2" s="2" t="n">
        <f aca="false">P2*$B$17+$B$18</f>
        <v>0.55</v>
      </c>
      <c r="R2" s="2" t="n">
        <f aca="false">B4</f>
        <v>0.96</v>
      </c>
      <c r="S2" s="2" t="n">
        <f aca="false">B4</f>
        <v>0.96</v>
      </c>
      <c r="T2" s="2" t="n">
        <f aca="false">B5</f>
        <v>0.02</v>
      </c>
      <c r="U2" s="2" t="n">
        <f aca="false">B5</f>
        <v>0.02</v>
      </c>
    </row>
    <row r="3" customFormat="false" ht="12.8" hidden="false" customHeight="false" outlineLevel="0" collapsed="false">
      <c r="A3" s="11" t="s">
        <v>14</v>
      </c>
      <c r="B3" s="12" t="n">
        <v>0.55</v>
      </c>
      <c r="C3" s="13"/>
      <c r="F3" s="8" t="n">
        <v>2</v>
      </c>
      <c r="G3" s="14" t="n">
        <f aca="false">1/$F$15</f>
        <v>0.0714285714285714</v>
      </c>
      <c r="H3" s="14" t="n">
        <f aca="false">G3</f>
        <v>0.0714285714285714</v>
      </c>
      <c r="I3" s="2" t="n">
        <v>74.8</v>
      </c>
      <c r="J3" s="2" t="n">
        <v>0.05</v>
      </c>
      <c r="K3" s="2" t="n">
        <v>0.6381</v>
      </c>
      <c r="L3" s="2" t="n">
        <f aca="false">L2</f>
        <v>0.96</v>
      </c>
      <c r="M3" s="2" t="n">
        <f aca="false">L3</f>
        <v>0.96</v>
      </c>
      <c r="N3" s="2" t="n">
        <f aca="false">N2</f>
        <v>0.02</v>
      </c>
      <c r="O3" s="2" t="n">
        <f aca="false">N3</f>
        <v>0.02</v>
      </c>
      <c r="P3" s="2" t="n">
        <f aca="false">B28</f>
        <v>0.66075439369462</v>
      </c>
      <c r="Q3" s="2" t="n">
        <f aca="false">B29</f>
        <v>0.816663869248684</v>
      </c>
      <c r="R3" s="2" t="n">
        <f aca="false">B28</f>
        <v>0.66075439369462</v>
      </c>
      <c r="S3" s="2" t="n">
        <f aca="false">B29</f>
        <v>0.816663869248684</v>
      </c>
      <c r="T3" s="2" t="n">
        <f aca="false">B28</f>
        <v>0.66075439369462</v>
      </c>
      <c r="U3" s="2" t="n">
        <f aca="false">B29</f>
        <v>0.816663869248684</v>
      </c>
    </row>
    <row r="4" customFormat="false" ht="23.95" hidden="false" customHeight="false" outlineLevel="0" collapsed="false">
      <c r="A4" s="11" t="s">
        <v>15</v>
      </c>
      <c r="B4" s="12" t="n">
        <v>0.96</v>
      </c>
      <c r="C4" s="13"/>
      <c r="F4" s="8" t="n">
        <v>3</v>
      </c>
      <c r="G4" s="14" t="n">
        <f aca="false">$G$3*F3</f>
        <v>0.142857142857143</v>
      </c>
      <c r="H4" s="14" t="n">
        <f aca="false">G4</f>
        <v>0.142857142857143</v>
      </c>
      <c r="I4" s="2" t="n">
        <v>68.53</v>
      </c>
      <c r="J4" s="2" t="n">
        <v>0.1</v>
      </c>
      <c r="K4" s="2" t="n">
        <v>0.7301</v>
      </c>
    </row>
    <row r="5" customFormat="false" ht="23.95" hidden="false" customHeight="false" outlineLevel="0" collapsed="false">
      <c r="A5" s="11" t="s">
        <v>16</v>
      </c>
      <c r="B5" s="12" t="n">
        <v>0.02</v>
      </c>
      <c r="C5" s="13"/>
      <c r="F5" s="8" t="n">
        <v>4</v>
      </c>
      <c r="G5" s="14" t="n">
        <f aca="false">$G$3*F4</f>
        <v>0.214285714285714</v>
      </c>
      <c r="H5" s="14" t="n">
        <f aca="false">G5</f>
        <v>0.214285714285714</v>
      </c>
      <c r="I5" s="2" t="n">
        <v>65.26</v>
      </c>
      <c r="J5" s="2" t="n">
        <v>0.15</v>
      </c>
      <c r="K5" s="2" t="n">
        <v>0.7716</v>
      </c>
    </row>
    <row r="6" customFormat="false" ht="12.8" hidden="false" customHeight="false" outlineLevel="0" collapsed="false">
      <c r="A6" s="11" t="s">
        <v>17</v>
      </c>
      <c r="B6" s="12" t="n">
        <v>1</v>
      </c>
      <c r="C6" s="13" t="s">
        <v>18</v>
      </c>
      <c r="F6" s="8" t="n">
        <v>5</v>
      </c>
      <c r="G6" s="14" t="n">
        <f aca="false">$G$3*F5</f>
        <v>0.285714285714286</v>
      </c>
      <c r="H6" s="14" t="n">
        <f aca="false">G6</f>
        <v>0.285714285714286</v>
      </c>
      <c r="I6" s="2" t="n">
        <v>63.59</v>
      </c>
      <c r="J6" s="2" t="n">
        <v>0.2</v>
      </c>
      <c r="K6" s="2" t="n">
        <v>0.7916</v>
      </c>
    </row>
    <row r="7" customFormat="false" ht="12.8" hidden="false" customHeight="false" outlineLevel="0" collapsed="false">
      <c r="A7" s="11" t="s">
        <v>19</v>
      </c>
      <c r="B7" s="12" t="n">
        <v>25</v>
      </c>
      <c r="C7" s="13" t="s">
        <v>20</v>
      </c>
      <c r="F7" s="8" t="n">
        <v>6</v>
      </c>
      <c r="G7" s="14" t="n">
        <f aca="false">$G$3*F6</f>
        <v>0.357142857142857</v>
      </c>
      <c r="H7" s="14" t="n">
        <f aca="false">G7</f>
        <v>0.357142857142857</v>
      </c>
      <c r="I7" s="2" t="n">
        <v>61.87</v>
      </c>
      <c r="J7" s="2" t="n">
        <v>0.3</v>
      </c>
      <c r="K7" s="2" t="n">
        <v>0.8124</v>
      </c>
    </row>
    <row r="8" customFormat="false" ht="12.8" hidden="false" customHeight="false" outlineLevel="0" collapsed="false">
      <c r="A8" s="15" t="s">
        <v>21</v>
      </c>
      <c r="B8" s="16" t="s">
        <v>22</v>
      </c>
      <c r="C8" s="17"/>
      <c r="F8" s="8" t="n">
        <v>7</v>
      </c>
      <c r="G8" s="14" t="n">
        <f aca="false">$G$3*F7</f>
        <v>0.428571428571429</v>
      </c>
      <c r="H8" s="14" t="n">
        <f aca="false">G8</f>
        <v>0.428571428571429</v>
      </c>
      <c r="I8" s="2" t="n">
        <v>60.75</v>
      </c>
      <c r="J8" s="2" t="n">
        <v>0.4</v>
      </c>
      <c r="K8" s="2" t="n">
        <v>0.8269</v>
      </c>
    </row>
    <row r="9" customFormat="false" ht="12.8" hidden="false" customHeight="false" outlineLevel="0" collapsed="false">
      <c r="A9" s="18"/>
      <c r="B9" s="19"/>
      <c r="F9" s="8" t="n">
        <v>8</v>
      </c>
      <c r="G9" s="14" t="n">
        <f aca="false">$G$3*F8</f>
        <v>0.5</v>
      </c>
      <c r="H9" s="14" t="n">
        <f aca="false">G9</f>
        <v>0.5</v>
      </c>
      <c r="I9" s="2" t="n">
        <v>59.95</v>
      </c>
      <c r="J9" s="2" t="n">
        <v>0.5</v>
      </c>
      <c r="K9" s="2" t="n">
        <v>0.8387</v>
      </c>
    </row>
    <row r="10" customFormat="false" ht="12.8" hidden="false" customHeight="false" outlineLevel="0" collapsed="false">
      <c r="A10" s="20" t="s">
        <v>23</v>
      </c>
      <c r="B10" s="21" t="n">
        <f aca="false">IF(B8="Liquid", 1-(B7-$I$15)/($I$2-$I$15))</f>
        <v>1.71037628278221</v>
      </c>
      <c r="C10" s="22"/>
      <c r="F10" s="8" t="n">
        <v>9</v>
      </c>
      <c r="G10" s="14" t="n">
        <f aca="false">$G$3*F9</f>
        <v>0.571428571428571</v>
      </c>
      <c r="H10" s="14" t="n">
        <f aca="false">G10</f>
        <v>0.571428571428571</v>
      </c>
      <c r="I10" s="2" t="n">
        <v>59.12</v>
      </c>
      <c r="J10" s="2" t="n">
        <v>0.6</v>
      </c>
      <c r="K10" s="2" t="n">
        <v>0.8532</v>
      </c>
    </row>
    <row r="11" customFormat="false" ht="12.8" hidden="false" customHeight="false" outlineLevel="0" collapsed="false">
      <c r="A11" s="23" t="s">
        <v>24</v>
      </c>
      <c r="B11" s="24" t="n">
        <f aca="false">B2*(B5-B3)/(B5-B4)</f>
        <v>56.3829787234043</v>
      </c>
      <c r="C11" s="25" t="s">
        <v>13</v>
      </c>
      <c r="F11" s="8" t="n">
        <v>10</v>
      </c>
      <c r="G11" s="14" t="n">
        <f aca="false">$G$3*F10</f>
        <v>0.642857142857143</v>
      </c>
      <c r="H11" s="14" t="n">
        <f aca="false">G11</f>
        <v>0.642857142857143</v>
      </c>
      <c r="I11" s="2" t="n">
        <v>58.29</v>
      </c>
      <c r="J11" s="2" t="n">
        <v>0.7</v>
      </c>
      <c r="K11" s="2" t="n">
        <v>0.8712</v>
      </c>
    </row>
    <row r="12" customFormat="false" ht="12.8" hidden="false" customHeight="false" outlineLevel="0" collapsed="false">
      <c r="A12" s="23" t="s">
        <v>25</v>
      </c>
      <c r="B12" s="24" t="n">
        <f aca="false">B2-B11</f>
        <v>43.6170212765957</v>
      </c>
      <c r="C12" s="25" t="s">
        <v>13</v>
      </c>
      <c r="F12" s="8" t="n">
        <v>11</v>
      </c>
      <c r="G12" s="14" t="n">
        <f aca="false">$G$3*F11</f>
        <v>0.714285714285714</v>
      </c>
      <c r="H12" s="14" t="n">
        <f aca="false">G12</f>
        <v>0.714285714285714</v>
      </c>
      <c r="I12" s="2" t="n">
        <v>57.49</v>
      </c>
      <c r="J12" s="2" t="n">
        <v>0.8</v>
      </c>
      <c r="K12" s="2" t="n">
        <v>0.895</v>
      </c>
    </row>
    <row r="13" customFormat="false" ht="12.8" hidden="false" customHeight="false" outlineLevel="0" collapsed="false">
      <c r="A13" s="26" t="s">
        <v>26</v>
      </c>
      <c r="B13" s="24" t="n">
        <f aca="false">(B4-N30)/(B4-M30-B4+N30)</f>
        <v>0.612903225806449</v>
      </c>
      <c r="C13" s="25"/>
      <c r="F13" s="8" t="n">
        <v>12</v>
      </c>
      <c r="G13" s="14" t="n">
        <f aca="false">$G$3*F12</f>
        <v>0.785714285714286</v>
      </c>
      <c r="H13" s="14" t="n">
        <f aca="false">G13</f>
        <v>0.785714285714286</v>
      </c>
      <c r="I13" s="2" t="n">
        <v>56.68</v>
      </c>
      <c r="J13" s="2" t="n">
        <v>0.9</v>
      </c>
      <c r="K13" s="2" t="n">
        <v>0.9335</v>
      </c>
    </row>
    <row r="14" customFormat="false" ht="12.8" hidden="false" customHeight="false" outlineLevel="0" collapsed="false">
      <c r="A14" s="23" t="s">
        <v>27</v>
      </c>
      <c r="B14" s="24" t="n">
        <f aca="false">B13*1.5</f>
        <v>0.919354838709674</v>
      </c>
      <c r="C14" s="25"/>
      <c r="F14" s="8" t="n">
        <v>13</v>
      </c>
      <c r="G14" s="14" t="n">
        <f aca="false">$G$3*F13</f>
        <v>0.857142857142857</v>
      </c>
      <c r="H14" s="14" t="n">
        <f aca="false">G14</f>
        <v>0.857142857142857</v>
      </c>
      <c r="I14" s="2" t="n">
        <v>56.3</v>
      </c>
      <c r="J14" s="2" t="n">
        <v>0.95</v>
      </c>
      <c r="K14" s="2" t="n">
        <v>0.9627</v>
      </c>
    </row>
    <row r="15" customFormat="false" ht="12.8" hidden="false" customHeight="false" outlineLevel="0" collapsed="false">
      <c r="A15" s="26"/>
      <c r="B15" s="24"/>
      <c r="C15" s="25"/>
      <c r="F15" s="8" t="n">
        <v>14</v>
      </c>
      <c r="G15" s="14" t="n">
        <v>1</v>
      </c>
      <c r="H15" s="2" t="n">
        <v>1</v>
      </c>
      <c r="I15" s="2" t="n">
        <v>56.15</v>
      </c>
      <c r="J15" s="2" t="n">
        <v>1</v>
      </c>
      <c r="K15" s="2" t="n">
        <v>1</v>
      </c>
    </row>
    <row r="16" customFormat="false" ht="12.8" hidden="false" customHeight="false" outlineLevel="0" collapsed="false">
      <c r="A16" s="27" t="s">
        <v>9</v>
      </c>
      <c r="B16" s="28"/>
      <c r="C16" s="29"/>
    </row>
    <row r="17" customFormat="false" ht="12.8" hidden="false" customHeight="false" outlineLevel="0" collapsed="false">
      <c r="A17" s="26" t="s">
        <v>28</v>
      </c>
      <c r="B17" s="24" t="n">
        <f aca="false">B10/(B10-1)</f>
        <v>2.40770465489567</v>
      </c>
      <c r="C17" s="25"/>
      <c r="F17" s="30" t="s">
        <v>29</v>
      </c>
      <c r="G17" s="30"/>
    </row>
    <row r="18" customFormat="false" ht="12.8" hidden="false" customHeight="false" outlineLevel="0" collapsed="false">
      <c r="A18" s="26" t="s">
        <v>30</v>
      </c>
      <c r="B18" s="24" t="n">
        <f aca="false">-B3/(B10-1)</f>
        <v>-0.774237560192617</v>
      </c>
      <c r="C18" s="25"/>
      <c r="F18" s="31" t="s">
        <v>31</v>
      </c>
      <c r="G18" s="2" t="n">
        <v>518</v>
      </c>
    </row>
    <row r="19" customFormat="false" ht="12.8" hidden="false" customHeight="false" outlineLevel="0" collapsed="false">
      <c r="A19" s="26"/>
      <c r="B19" s="24"/>
      <c r="C19" s="25"/>
      <c r="F19" s="31" t="s">
        <v>32</v>
      </c>
      <c r="G19" s="2" t="n">
        <v>2.14</v>
      </c>
    </row>
    <row r="20" customFormat="false" ht="12.8" hidden="false" customHeight="false" outlineLevel="0" collapsed="false">
      <c r="A20" s="27" t="s">
        <v>33</v>
      </c>
      <c r="B20" s="28"/>
      <c r="C20" s="29"/>
      <c r="F20" s="31" t="s">
        <v>34</v>
      </c>
      <c r="G20" s="2" t="n">
        <v>1.29</v>
      </c>
    </row>
    <row r="21" customFormat="false" ht="12.8" hidden="false" customHeight="false" outlineLevel="0" collapsed="false">
      <c r="A21" s="26" t="s">
        <v>35</v>
      </c>
      <c r="B21" s="24" t="n">
        <f aca="false">B14/(B14+1)</f>
        <v>0.478991596638655</v>
      </c>
      <c r="C21" s="25"/>
      <c r="F21" s="31" t="s">
        <v>36</v>
      </c>
      <c r="G21" s="2" t="n">
        <v>2256</v>
      </c>
    </row>
    <row r="22" customFormat="false" ht="12.8" hidden="false" customHeight="false" outlineLevel="0" collapsed="false">
      <c r="A22" s="26" t="s">
        <v>37</v>
      </c>
      <c r="B22" s="24" t="n">
        <f aca="false">B4/(B14+1)</f>
        <v>0.500168067226892</v>
      </c>
      <c r="C22" s="25"/>
      <c r="F22" s="31" t="s">
        <v>38</v>
      </c>
      <c r="G22" s="2" t="n">
        <v>4.187</v>
      </c>
    </row>
    <row r="23" customFormat="false" ht="12.8" hidden="false" customHeight="false" outlineLevel="0" collapsed="false">
      <c r="A23" s="26"/>
      <c r="B23" s="24"/>
      <c r="C23" s="25"/>
      <c r="F23" s="31" t="s">
        <v>39</v>
      </c>
      <c r="G23" s="2" t="n">
        <v>1.996</v>
      </c>
    </row>
    <row r="24" customFormat="false" ht="12.8" hidden="false" customHeight="false" outlineLevel="0" collapsed="false">
      <c r="A24" s="26" t="s">
        <v>40</v>
      </c>
      <c r="B24" s="24" t="n">
        <f aca="false">B14*B11</f>
        <v>51.8359643102263</v>
      </c>
      <c r="C24" s="25"/>
      <c r="F24" s="32" t="s">
        <v>41</v>
      </c>
      <c r="G24" s="32"/>
    </row>
    <row r="25" customFormat="false" ht="12.8" hidden="false" customHeight="false" outlineLevel="0" collapsed="false">
      <c r="A25" s="26" t="s">
        <v>42</v>
      </c>
      <c r="B25" s="24" t="n">
        <f aca="false">B24+B11</f>
        <v>108.218943033631</v>
      </c>
      <c r="C25" s="25"/>
      <c r="F25" s="31" t="s">
        <v>43</v>
      </c>
      <c r="G25" s="2" t="n">
        <v>58.08</v>
      </c>
    </row>
    <row r="26" customFormat="false" ht="12.8" hidden="false" customHeight="false" outlineLevel="0" collapsed="false">
      <c r="A26" s="26"/>
      <c r="B26" s="24"/>
      <c r="C26" s="25"/>
      <c r="F26" s="31" t="s">
        <v>44</v>
      </c>
      <c r="G26" s="2" t="n">
        <v>18</v>
      </c>
    </row>
    <row r="27" customFormat="false" ht="12.8" hidden="false" customHeight="false" outlineLevel="0" collapsed="false">
      <c r="A27" s="27" t="s">
        <v>45</v>
      </c>
      <c r="B27" s="28"/>
      <c r="C27" s="29"/>
    </row>
    <row r="28" customFormat="false" ht="12.8" hidden="false" customHeight="false" outlineLevel="0" collapsed="false">
      <c r="A28" s="26" t="s">
        <v>46</v>
      </c>
      <c r="B28" s="24" t="n">
        <f aca="false">(B22-$B$18)/($B$17-B21)</f>
        <v>0.66075439369462</v>
      </c>
      <c r="C28" s="25"/>
      <c r="F28" s="30" t="s">
        <v>47</v>
      </c>
    </row>
    <row r="29" customFormat="false" ht="12.8" hidden="false" customHeight="false" outlineLevel="0" collapsed="false">
      <c r="A29" s="26" t="s">
        <v>48</v>
      </c>
      <c r="B29" s="24" t="n">
        <f aca="false">B28*B17+B18</f>
        <v>0.816663869248684</v>
      </c>
      <c r="C29" s="25"/>
      <c r="F29" s="33" t="s">
        <v>35</v>
      </c>
      <c r="G29" s="9" t="s">
        <v>49</v>
      </c>
      <c r="H29" s="9" t="s">
        <v>50</v>
      </c>
      <c r="I29" s="9" t="s">
        <v>51</v>
      </c>
      <c r="J29" s="9" t="s">
        <v>52</v>
      </c>
      <c r="K29" s="9" t="s">
        <v>9</v>
      </c>
      <c r="M29" s="34" t="s">
        <v>53</v>
      </c>
      <c r="P29" s="35"/>
      <c r="Q29" s="0"/>
      <c r="R29" s="0"/>
      <c r="S29" s="0"/>
      <c r="T29" s="0"/>
      <c r="AMC29" s="0"/>
      <c r="AMD29" s="0"/>
      <c r="AME29" s="0"/>
      <c r="AMF29" s="0"/>
      <c r="AMG29" s="0"/>
      <c r="AMH29" s="0"/>
      <c r="AMI29" s="0"/>
      <c r="AMJ29" s="0"/>
    </row>
    <row r="30" customFormat="false" ht="12.8" hidden="false" customHeight="false" outlineLevel="0" collapsed="false">
      <c r="A30" s="26"/>
      <c r="B30" s="24"/>
      <c r="C30" s="25"/>
      <c r="F30" s="4" t="n">
        <v>0</v>
      </c>
      <c r="G30" s="2" t="n">
        <f aca="false">F30/(1-F30)</f>
        <v>0</v>
      </c>
      <c r="H30" s="2" t="n">
        <f aca="false">$B$4/(G30+1)</f>
        <v>0.96</v>
      </c>
      <c r="I30" s="2" t="n">
        <f aca="false">IF($B$10&lt;&gt;1,(H30-$B$18)/($B$17-F30),$B$3)</f>
        <v>0.720286666666667</v>
      </c>
      <c r="J30" s="2" t="n">
        <f aca="false">IF($B$10&lt;&gt;1,I30*$B$17+$B$18,$B$3)</f>
        <v>0.96</v>
      </c>
      <c r="K30" s="2" t="e">
        <f aca="false">IF(VLOOKUP(I30,equil,2,1)&gt;J30,J30,NA())</f>
        <v>#N/A</v>
      </c>
      <c r="M30" s="2" t="n">
        <f aca="false">INDEX(I30:I129,MATCH(N30,J30:J129,0))</f>
        <v>0.67536342478983</v>
      </c>
      <c r="N30" s="36" t="n">
        <f aca="false">INDEX(K30:K129,MATCH(1,K30:K129&lt;&gt;"",0))</f>
        <v>0.851838101420135</v>
      </c>
      <c r="P30" s="35"/>
      <c r="Q30" s="0"/>
      <c r="R30" s="37"/>
      <c r="S30" s="37"/>
      <c r="T30" s="0"/>
      <c r="AMC30" s="0"/>
      <c r="AMD30" s="0"/>
      <c r="AME30" s="0"/>
      <c r="AMF30" s="0"/>
      <c r="AMG30" s="0"/>
      <c r="AMH30" s="0"/>
      <c r="AMI30" s="0"/>
      <c r="AMJ30" s="0"/>
    </row>
    <row r="31" customFormat="false" ht="12.8" hidden="false" customHeight="false" outlineLevel="0" collapsed="false">
      <c r="A31" s="27" t="s">
        <v>54</v>
      </c>
      <c r="B31" s="28"/>
      <c r="C31" s="29"/>
      <c r="F31" s="4" t="n">
        <v>0.01</v>
      </c>
      <c r="G31" s="2" t="n">
        <f aca="false">F31/(1-F31)</f>
        <v>0.0101010101010101</v>
      </c>
      <c r="H31" s="2" t="n">
        <f aca="false">$B$4/(G31+1)</f>
        <v>0.9504</v>
      </c>
      <c r="I31" s="2" t="n">
        <f aca="false">IF($B$10&lt;&gt;1,(H31-$B$18)/($B$17-F31),$B$3)</f>
        <v>0.719286904945206</v>
      </c>
      <c r="J31" s="2" t="n">
        <f aca="false">IF($B$10&lt;&gt;1,I31*$B$17+$B$18,$B$3)</f>
        <v>0.957592869049452</v>
      </c>
      <c r="K31" s="2" t="e">
        <f aca="false">IF(VLOOKUP(I31,equil,2,1)&gt;J31,J31,NA())</f>
        <v>#N/A</v>
      </c>
      <c r="P31" s="35"/>
      <c r="Q31" s="0"/>
      <c r="R31" s="37"/>
      <c r="S31" s="37"/>
      <c r="T31" s="0"/>
      <c r="AMC31" s="0"/>
      <c r="AMD31" s="0"/>
      <c r="AME31" s="0"/>
      <c r="AMF31" s="0"/>
      <c r="AMG31" s="0"/>
      <c r="AMH31" s="0"/>
      <c r="AMI31" s="0"/>
      <c r="AMJ31" s="0"/>
    </row>
    <row r="32" customFormat="false" ht="12.8" hidden="false" customHeight="false" outlineLevel="0" collapsed="false">
      <c r="A32" s="26" t="s">
        <v>55</v>
      </c>
      <c r="B32" s="24" t="n">
        <f aca="false">(B29-B5)/(B28-B5)</f>
        <v>1.24332174244656</v>
      </c>
      <c r="C32" s="25"/>
      <c r="F32" s="4" t="n">
        <v>0.02</v>
      </c>
      <c r="G32" s="2" t="n">
        <f aca="false">F32/(1-F32)</f>
        <v>0.0204081632653061</v>
      </c>
      <c r="H32" s="2" t="n">
        <f aca="false">$B$4/(G32+1)</f>
        <v>0.9408</v>
      </c>
      <c r="I32" s="2" t="n">
        <f aca="false">IF($B$10&lt;&gt;1,(H32-$B$18)/($B$17-F32),$B$3)</f>
        <v>0.71827876897428</v>
      </c>
      <c r="J32" s="2" t="n">
        <f aca="false">IF($B$10&lt;&gt;1,I32*$B$17+$B$18,$B$3)</f>
        <v>0.955165575379486</v>
      </c>
      <c r="K32" s="2" t="e">
        <f aca="false">IF(VLOOKUP(I32,equil,2,1)&gt;J32,J32,NA())</f>
        <v>#N/A</v>
      </c>
      <c r="M32" s="0"/>
      <c r="P32" s="35"/>
      <c r="Q32" s="35"/>
      <c r="R32" s="35"/>
      <c r="S32" s="35"/>
      <c r="T32" s="35"/>
      <c r="AMC32" s="0"/>
      <c r="AMD32" s="0"/>
      <c r="AME32" s="0"/>
      <c r="AMF32" s="0"/>
      <c r="AMG32" s="0"/>
      <c r="AMH32" s="0"/>
      <c r="AMI32" s="0"/>
      <c r="AMJ32" s="0"/>
    </row>
    <row r="33" customFormat="false" ht="12.8" hidden="false" customHeight="false" outlineLevel="0" collapsed="false">
      <c r="A33" s="26" t="s">
        <v>56</v>
      </c>
      <c r="B33" s="24" t="n">
        <f aca="false">$B$5-$B$5*(B29-$B$5)/(B28-$B$5)</f>
        <v>-0.0048664348489312</v>
      </c>
      <c r="C33" s="25"/>
      <c r="F33" s="4" t="n">
        <v>0.03</v>
      </c>
      <c r="G33" s="2" t="n">
        <f aca="false">F33/(1-F33)</f>
        <v>0.0309278350515464</v>
      </c>
      <c r="H33" s="2" t="n">
        <f aca="false">$B$4/(G33+1)</f>
        <v>0.9312</v>
      </c>
      <c r="I33" s="2" t="n">
        <f aca="false">IF($B$10&lt;&gt;1,(H33-$B$18)/($B$17-F33),$B$3)</f>
        <v>0.717262153094221</v>
      </c>
      <c r="J33" s="2" t="n">
        <f aca="false">IF($B$10&lt;&gt;1,I33*$B$17+$B$18,$B$3)</f>
        <v>0.952717864592827</v>
      </c>
      <c r="K33" s="2" t="e">
        <f aca="false">IF(VLOOKUP(I33,equil,2,1)&gt;J33,J33,NA())</f>
        <v>#N/A</v>
      </c>
      <c r="P33" s="35"/>
      <c r="Q33" s="35"/>
      <c r="R33" s="35"/>
      <c r="S33" s="35"/>
      <c r="T33" s="35"/>
      <c r="AMC33" s="0"/>
      <c r="AMD33" s="0"/>
      <c r="AME33" s="0"/>
      <c r="AMF33" s="0"/>
      <c r="AMG33" s="0"/>
      <c r="AMH33" s="0"/>
      <c r="AMI33" s="0"/>
      <c r="AMJ33" s="0"/>
    </row>
    <row r="34" customFormat="false" ht="12.8" hidden="false" customHeight="false" outlineLevel="0" collapsed="false">
      <c r="A34" s="26"/>
      <c r="B34" s="24"/>
      <c r="C34" s="25"/>
      <c r="F34" s="4" t="n">
        <v>0.04</v>
      </c>
      <c r="G34" s="2" t="n">
        <f aca="false">F34/(1-F34)</f>
        <v>0.0416666666666667</v>
      </c>
      <c r="H34" s="2" t="n">
        <f aca="false">$B$4/(G34+1)</f>
        <v>0.9216</v>
      </c>
      <c r="I34" s="2" t="n">
        <f aca="false">IF($B$10&lt;&gt;1,(H34-$B$18)/($B$17-F34),$B$3)</f>
        <v>0.716236949860346</v>
      </c>
      <c r="J34" s="2" t="n">
        <f aca="false">IF($B$10&lt;&gt;1,I34*$B$17+$B$18,$B$3)</f>
        <v>0.950249477994414</v>
      </c>
      <c r="K34" s="2" t="e">
        <f aca="false">IF(VLOOKUP(I34,equil,2,1)&gt;J34,J34,NA())</f>
        <v>#N/A</v>
      </c>
      <c r="P34" s="35"/>
      <c r="Q34" s="35"/>
      <c r="R34" s="35"/>
      <c r="S34" s="35"/>
      <c r="T34" s="35"/>
      <c r="AMC34" s="0"/>
      <c r="AMD34" s="0"/>
      <c r="AME34" s="0"/>
      <c r="AMF34" s="0"/>
      <c r="AMG34" s="0"/>
      <c r="AMH34" s="0"/>
      <c r="AMI34" s="0"/>
      <c r="AMJ34" s="0"/>
    </row>
    <row r="35" customFormat="false" ht="12.8" hidden="false" customHeight="false" outlineLevel="0" collapsed="false">
      <c r="A35" s="26" t="s">
        <v>57</v>
      </c>
      <c r="B35" s="24" t="n">
        <f aca="false">$B$12*(B33-$B$5)/B33</f>
        <v>222.873592588447</v>
      </c>
      <c r="C35" s="25"/>
      <c r="F35" s="4" t="n">
        <v>0.05</v>
      </c>
      <c r="G35" s="2" t="n">
        <f aca="false">F35/(1-F35)</f>
        <v>0.0526315789473684</v>
      </c>
      <c r="H35" s="2" t="n">
        <f aca="false">$B$4/(G35+1)</f>
        <v>0.912</v>
      </c>
      <c r="I35" s="2" t="n">
        <f aca="false">IF($B$10&lt;&gt;1,(H35-$B$18)/($B$17-F35),$B$3)</f>
        <v>0.715203050005106</v>
      </c>
      <c r="J35" s="2" t="n">
        <f aca="false">IF($B$10&lt;&gt;1,I35*$B$17+$B$18,$B$3)</f>
        <v>0.947760152500255</v>
      </c>
      <c r="K35" s="2" t="e">
        <f aca="false">IF(VLOOKUP(I35,equil,2,1)&gt;J35,J35,NA())</f>
        <v>#N/A</v>
      </c>
      <c r="P35" s="35"/>
      <c r="Q35" s="35"/>
      <c r="R35" s="35"/>
      <c r="S35" s="35"/>
      <c r="T35" s="35"/>
      <c r="AMC35" s="0"/>
      <c r="AMD35" s="0"/>
      <c r="AME35" s="0"/>
      <c r="AMF35" s="0"/>
      <c r="AMG35" s="0"/>
      <c r="AMH35" s="0"/>
      <c r="AMI35" s="0"/>
      <c r="AMJ35" s="0"/>
    </row>
    <row r="36" customFormat="false" ht="12.8" hidden="false" customHeight="false" outlineLevel="0" collapsed="false">
      <c r="A36" s="26" t="s">
        <v>58</v>
      </c>
      <c r="B36" s="24" t="n">
        <f aca="false">B35/B32</f>
        <v>179.256571311852</v>
      </c>
      <c r="C36" s="25"/>
      <c r="F36" s="4" t="n">
        <v>0.06</v>
      </c>
      <c r="G36" s="2" t="n">
        <f aca="false">F36/(1-F36)</f>
        <v>0.0638297872340425</v>
      </c>
      <c r="H36" s="2" t="n">
        <f aca="false">$B$4/(G36+1)</f>
        <v>0.9024</v>
      </c>
      <c r="I36" s="2" t="n">
        <f aca="false">IF($B$10&lt;&gt;1,(H36-$B$18)/($B$17-F36),$B$3)</f>
        <v>0.714160342399256</v>
      </c>
      <c r="J36" s="2" t="n">
        <f aca="false">IF($B$10&lt;&gt;1,I36*$B$17+$B$18,$B$3)</f>
        <v>0.945249620543956</v>
      </c>
      <c r="K36" s="2" t="e">
        <f aca="false">IF(VLOOKUP(I36,equil,2,1)&gt;J36,J36,NA())</f>
        <v>#N/A</v>
      </c>
      <c r="P36" s="35"/>
      <c r="Q36" s="35"/>
      <c r="R36" s="35"/>
      <c r="S36" s="35"/>
      <c r="T36" s="35"/>
      <c r="AMC36" s="0"/>
      <c r="AMD36" s="0"/>
      <c r="AME36" s="0"/>
      <c r="AMF36" s="0"/>
      <c r="AMG36" s="0"/>
      <c r="AMH36" s="0"/>
      <c r="AMI36" s="0"/>
      <c r="AMJ36" s="0"/>
    </row>
    <row r="37" customFormat="false" ht="12.8" hidden="false" customHeight="false" outlineLevel="0" collapsed="false">
      <c r="A37" s="26"/>
      <c r="B37" s="24"/>
      <c r="C37" s="25"/>
      <c r="F37" s="4" t="n">
        <v>0.07</v>
      </c>
      <c r="G37" s="2" t="n">
        <f aca="false">F37/(1-F37)</f>
        <v>0.0752688172043011</v>
      </c>
      <c r="H37" s="2" t="n">
        <f aca="false">$B$4/(G37+1)</f>
        <v>0.8928</v>
      </c>
      <c r="I37" s="2" t="n">
        <f aca="false">IF($B$10&lt;&gt;1,(H37-$B$18)/($B$17-F37),$B$3)</f>
        <v>0.713108714012043</v>
      </c>
      <c r="J37" s="2" t="n">
        <f aca="false">IF($B$10&lt;&gt;1,I37*$B$17+$B$18,$B$3)</f>
        <v>0.942717609980843</v>
      </c>
      <c r="K37" s="2" t="e">
        <f aca="false">IF(VLOOKUP(I37,equil,2,1)&gt;J37,J37,NA())</f>
        <v>#N/A</v>
      </c>
      <c r="P37" s="35"/>
      <c r="Q37" s="35"/>
      <c r="R37" s="35"/>
      <c r="S37" s="35"/>
      <c r="T37" s="35"/>
      <c r="AMC37" s="0"/>
      <c r="AMD37" s="0"/>
      <c r="AME37" s="0"/>
      <c r="AMF37" s="0"/>
      <c r="AMG37" s="0"/>
      <c r="AMH37" s="0"/>
      <c r="AMI37" s="0"/>
      <c r="AMJ37" s="0"/>
    </row>
    <row r="38" customFormat="false" ht="12.8" hidden="false" customHeight="false" outlineLevel="0" collapsed="false">
      <c r="A38" s="26" t="s">
        <v>59</v>
      </c>
      <c r="B38" s="24" t="n">
        <f aca="false">COUNT(C47:C70)</f>
        <v>19</v>
      </c>
      <c r="C38" s="25"/>
      <c r="F38" s="4" t="n">
        <v>0.08</v>
      </c>
      <c r="G38" s="2" t="n">
        <f aca="false">F38/(1-F38)</f>
        <v>0.0869565217391304</v>
      </c>
      <c r="H38" s="2" t="n">
        <f aca="false">$B$4/(G38+1)</f>
        <v>0.8832</v>
      </c>
      <c r="I38" s="2" t="n">
        <f aca="false">IF($B$10&lt;&gt;1,(H38-$B$18)/($B$17-F38),$B$3)</f>
        <v>0.712048049870359</v>
      </c>
      <c r="J38" s="2" t="n">
        <f aca="false">IF($B$10&lt;&gt;1,I38*$B$17+$B$18,$B$3)</f>
        <v>0.940163843989629</v>
      </c>
      <c r="K38" s="2" t="e">
        <f aca="false">IF(VLOOKUP(I38,equil,2,1)&gt;J38,J38,NA())</f>
        <v>#N/A</v>
      </c>
      <c r="P38" s="35"/>
      <c r="Q38" s="35"/>
      <c r="R38" s="35"/>
      <c r="S38" s="35"/>
      <c r="T38" s="35"/>
      <c r="AMC38" s="0"/>
      <c r="AMD38" s="0"/>
      <c r="AME38" s="0"/>
      <c r="AMF38" s="0"/>
      <c r="AMG38" s="0"/>
      <c r="AMH38" s="0"/>
      <c r="AMI38" s="0"/>
      <c r="AMJ38" s="0"/>
    </row>
    <row r="39" customFormat="false" ht="12.8" hidden="false" customHeight="false" outlineLevel="0" collapsed="false">
      <c r="A39" s="26" t="s">
        <v>60</v>
      </c>
      <c r="B39" s="24" t="n">
        <f aca="false">INDEX(A47:A70,MATCH(B3,D47:D70,-1)+1)</f>
        <v>17</v>
      </c>
      <c r="C39" s="25"/>
      <c r="F39" s="4" t="n">
        <v>0.09</v>
      </c>
      <c r="G39" s="2" t="n">
        <f aca="false">F39/(1-F39)</f>
        <v>0.0989010989010989</v>
      </c>
      <c r="H39" s="2" t="n">
        <f aca="false">$B$4/(G39+1)</f>
        <v>0.8736</v>
      </c>
      <c r="I39" s="2" t="n">
        <f aca="false">IF($B$10&lt;&gt;1,(H39-$B$18)/($B$17-F39),$B$3)</f>
        <v>0.710978233016836</v>
      </c>
      <c r="J39" s="2" t="n">
        <f aca="false">IF($B$10&lt;&gt;1,I39*$B$17+$B$18,$B$3)</f>
        <v>0.937588040971515</v>
      </c>
      <c r="K39" s="2" t="e">
        <f aca="false">IF(VLOOKUP(I39,equil,2,1)&gt;J39,J39,NA())</f>
        <v>#N/A</v>
      </c>
      <c r="P39" s="35"/>
      <c r="Q39" s="35"/>
      <c r="R39" s="35"/>
      <c r="S39" s="35"/>
      <c r="T39" s="35"/>
      <c r="AMC39" s="0"/>
      <c r="AMD39" s="0"/>
      <c r="AME39" s="0"/>
      <c r="AMF39" s="0"/>
      <c r="AMG39" s="0"/>
      <c r="AMH39" s="0"/>
      <c r="AMI39" s="0"/>
      <c r="AMJ39" s="0"/>
    </row>
    <row r="40" customFormat="false" ht="12.8" hidden="false" customHeight="false" outlineLevel="0" collapsed="false">
      <c r="A40" s="26"/>
      <c r="B40" s="24"/>
      <c r="C40" s="25"/>
      <c r="F40" s="4" t="n">
        <v>0.1</v>
      </c>
      <c r="G40" s="2" t="n">
        <f aca="false">F40/(1-F40)</f>
        <v>0.111111111111111</v>
      </c>
      <c r="H40" s="2" t="n">
        <f aca="false">$B$4/(G40+1)</f>
        <v>0.864</v>
      </c>
      <c r="I40" s="2" t="n">
        <f aca="false">IF($B$10&lt;&gt;1,(H40-$B$18)/($B$17-F40),$B$3)</f>
        <v>0.709899144466857</v>
      </c>
      <c r="J40" s="2" t="n">
        <f aca="false">IF($B$10&lt;&gt;1,I40*$B$17+$B$18,$B$3)</f>
        <v>0.934989914446686</v>
      </c>
      <c r="K40" s="2" t="e">
        <f aca="false">IF(VLOOKUP(I40,equil,2,1)&gt;J40,J40,NA())</f>
        <v>#N/A</v>
      </c>
      <c r="P40" s="35"/>
      <c r="Q40" s="35"/>
      <c r="R40" s="35"/>
      <c r="S40" s="35"/>
      <c r="T40" s="35"/>
      <c r="AMC40" s="0"/>
      <c r="AMD40" s="0"/>
      <c r="AME40" s="0"/>
      <c r="AMF40" s="0"/>
      <c r="AMG40" s="0"/>
      <c r="AMH40" s="0"/>
      <c r="AMI40" s="0"/>
      <c r="AMJ40" s="0"/>
    </row>
    <row r="41" customFormat="false" ht="12.8" hidden="false" customHeight="false" outlineLevel="0" collapsed="false">
      <c r="A41" s="26" t="s">
        <v>61</v>
      </c>
      <c r="B41" s="24" t="n">
        <f aca="false">B36*((1-$B$4)*$G$26*$G$21+$B$4*$G$25*$G$18)/1000</f>
        <v>5468.46234188936</v>
      </c>
      <c r="C41" s="25" t="s">
        <v>62</v>
      </c>
      <c r="F41" s="4" t="n">
        <v>0.11</v>
      </c>
      <c r="G41" s="2" t="n">
        <f aca="false">F41/(1-F41)</f>
        <v>0.123595505617978</v>
      </c>
      <c r="H41" s="2" t="n">
        <f aca="false">$B$4/(G41+1)</f>
        <v>0.8544</v>
      </c>
      <c r="I41" s="2" t="n">
        <f aca="false">IF($B$10&lt;&gt;1,(H41-$B$18)/($B$17-F41),$B$3)</f>
        <v>0.708810663164439</v>
      </c>
      <c r="J41" s="2" t="n">
        <f aca="false">IF($B$10&lt;&gt;1,I41*$B$17+$B$18,$B$3)</f>
        <v>0.932369172948088</v>
      </c>
      <c r="K41" s="2" t="e">
        <f aca="false">IF(VLOOKUP(I41,equil,2,1)&gt;J41,J41,NA())</f>
        <v>#N/A</v>
      </c>
      <c r="P41" s="35"/>
      <c r="Q41" s="35"/>
      <c r="R41" s="35"/>
      <c r="S41" s="35"/>
      <c r="T41" s="35"/>
      <c r="AMC41" s="0"/>
      <c r="AMD41" s="0"/>
      <c r="AME41" s="0"/>
      <c r="AMF41" s="0"/>
      <c r="AMG41" s="0"/>
      <c r="AMH41" s="0"/>
      <c r="AMI41" s="0"/>
      <c r="AMJ41" s="0"/>
    </row>
    <row r="42" customFormat="false" ht="12.8" hidden="false" customHeight="false" outlineLevel="0" collapsed="false">
      <c r="A42" s="38" t="s">
        <v>63</v>
      </c>
      <c r="B42" s="39" t="n">
        <f aca="false">B25*((1-$B$4)*$G$26*$G$21+$B$4*$G$25*$G$18)/1000</f>
        <v>3301.36413035003</v>
      </c>
      <c r="C42" s="29" t="s">
        <v>62</v>
      </c>
      <c r="F42" s="4" t="n">
        <v>0.12</v>
      </c>
      <c r="G42" s="2" t="n">
        <f aca="false">F42/(1-F42)</f>
        <v>0.136363636363636</v>
      </c>
      <c r="H42" s="2" t="n">
        <f aca="false">$B$4/(G42+1)</f>
        <v>0.8448</v>
      </c>
      <c r="I42" s="2" t="n">
        <f aca="false">IF($B$10&lt;&gt;1,(H42-$B$18)/($B$17-F42),$B$3)</f>
        <v>0.707712665936965</v>
      </c>
      <c r="J42" s="2" t="n">
        <f aca="false">IF($B$10&lt;&gt;1,I42*$B$17+$B$18,$B$3)</f>
        <v>0.929725519912436</v>
      </c>
      <c r="K42" s="2" t="e">
        <f aca="false">IF(VLOOKUP(I42,equil,2,1)&gt;J42,J42,NA())</f>
        <v>#N/A</v>
      </c>
      <c r="P42" s="35"/>
      <c r="Q42" s="35"/>
      <c r="R42" s="35"/>
      <c r="S42" s="35"/>
      <c r="T42" s="35"/>
      <c r="AMC42" s="0"/>
      <c r="AMD42" s="0"/>
      <c r="AME42" s="0"/>
      <c r="AMF42" s="0"/>
      <c r="AMG42" s="0"/>
      <c r="AMH42" s="0"/>
      <c r="AMI42" s="0"/>
      <c r="AMJ42" s="0"/>
    </row>
    <row r="43" customFormat="false" ht="12.8" hidden="false" customHeight="false" outlineLevel="0" collapsed="false">
      <c r="F43" s="4" t="n">
        <v>0.13</v>
      </c>
      <c r="G43" s="2" t="n">
        <f aca="false">F43/(1-F43)</f>
        <v>0.149425287356322</v>
      </c>
      <c r="H43" s="2" t="n">
        <f aca="false">$B$4/(G43+1)</f>
        <v>0.8352</v>
      </c>
      <c r="I43" s="2" t="n">
        <f aca="false">IF($B$10&lt;&gt;1,(H43-$B$18)/($B$17-F43),$B$3)</f>
        <v>0.706605027448714</v>
      </c>
      <c r="J43" s="2" t="n">
        <f aca="false">IF($B$10&lt;&gt;1,I43*$B$17+$B$18,$B$3)</f>
        <v>0.927058653568333</v>
      </c>
      <c r="K43" s="2" t="e">
        <f aca="false">IF(VLOOKUP(I43,equil,2,1)&gt;J43,J43,NA())</f>
        <v>#N/A</v>
      </c>
      <c r="P43" s="35"/>
      <c r="Q43" s="35"/>
      <c r="R43" s="35"/>
      <c r="S43" s="35"/>
      <c r="T43" s="35"/>
      <c r="AMC43" s="0"/>
      <c r="AMD43" s="0"/>
      <c r="AME43" s="0"/>
      <c r="AMF43" s="0"/>
      <c r="AMG43" s="0"/>
      <c r="AMH43" s="0"/>
      <c r="AMI43" s="0"/>
      <c r="AMJ43" s="0"/>
    </row>
    <row r="44" customFormat="false" ht="12.8" hidden="false" customHeight="true" outlineLevel="0" collapsed="false">
      <c r="A44" s="40" t="s">
        <v>64</v>
      </c>
      <c r="B44" s="40"/>
      <c r="C44" s="40"/>
      <c r="D44" s="40"/>
      <c r="E44" s="40"/>
      <c r="F44" s="4" t="n">
        <v>0.14</v>
      </c>
      <c r="G44" s="2" t="n">
        <f aca="false">F44/(1-F44)</f>
        <v>0.162790697674419</v>
      </c>
      <c r="H44" s="2" t="n">
        <f aca="false">$B$4/(G44+1)</f>
        <v>0.8256</v>
      </c>
      <c r="I44" s="2" t="n">
        <f aca="false">IF($B$10&lt;&gt;1,(H44-$B$18)/($B$17-F44),$B$3)</f>
        <v>0.705487620153173</v>
      </c>
      <c r="J44" s="2" t="n">
        <f aca="false">IF($B$10&lt;&gt;1,I44*$B$17+$B$18,$B$3)</f>
        <v>0.924368266821444</v>
      </c>
      <c r="K44" s="2" t="e">
        <f aca="false">IF(VLOOKUP(I44,equil,2,1)&gt;J44,J44,NA())</f>
        <v>#N/A</v>
      </c>
      <c r="P44" s="35"/>
      <c r="Q44" s="35"/>
      <c r="R44" s="35"/>
      <c r="S44" s="35"/>
      <c r="T44" s="35"/>
      <c r="AMC44" s="0"/>
      <c r="AMD44" s="0"/>
      <c r="AME44" s="0"/>
      <c r="AMF44" s="0"/>
      <c r="AMG44" s="0"/>
      <c r="AMH44" s="0"/>
      <c r="AMI44" s="0"/>
      <c r="AMJ44" s="0"/>
    </row>
    <row r="45" customFormat="false" ht="12.8" hidden="false" customHeight="false" outlineLevel="0" collapsed="false">
      <c r="A45" s="41" t="s">
        <v>65</v>
      </c>
      <c r="B45" s="42"/>
      <c r="C45" s="43" t="s">
        <v>66</v>
      </c>
      <c r="D45" s="43" t="s">
        <v>67</v>
      </c>
      <c r="E45" s="44"/>
      <c r="F45" s="4" t="n">
        <v>0.15</v>
      </c>
      <c r="G45" s="2" t="n">
        <f aca="false">F45/(1-F45)</f>
        <v>0.176470588235294</v>
      </c>
      <c r="H45" s="2" t="n">
        <f aca="false">$B$4/(G45+1)</f>
        <v>0.816</v>
      </c>
      <c r="I45" s="2" t="n">
        <f aca="false">IF($B$10&lt;&gt;1,(H45-$B$18)/($B$17-F45),$B$3)</f>
        <v>0.704360314244072</v>
      </c>
      <c r="J45" s="2" t="n">
        <f aca="false">IF($B$10&lt;&gt;1,I45*$B$17+$B$18,$B$3)</f>
        <v>0.921654047136611</v>
      </c>
      <c r="K45" s="2" t="e">
        <f aca="false">IF(VLOOKUP(I45,equil,2,1)&gt;J45,J45,NA())</f>
        <v>#N/A</v>
      </c>
      <c r="P45" s="35"/>
      <c r="Q45" s="35"/>
      <c r="R45" s="35"/>
      <c r="S45" s="35"/>
      <c r="T45" s="35"/>
      <c r="AMC45" s="0"/>
      <c r="AMD45" s="0"/>
      <c r="AME45" s="0"/>
      <c r="AMF45" s="0"/>
      <c r="AMG45" s="0"/>
      <c r="AMH45" s="0"/>
      <c r="AMI45" s="0"/>
      <c r="AMJ45" s="0"/>
    </row>
    <row r="46" customFormat="false" ht="12.8" hidden="false" customHeight="false" outlineLevel="0" collapsed="false">
      <c r="A46" s="45" t="n">
        <v>0</v>
      </c>
      <c r="B46" s="46"/>
      <c r="C46" s="47"/>
      <c r="D46" s="48" t="n">
        <f aca="false">B4</f>
        <v>0.96</v>
      </c>
      <c r="E46" s="49"/>
      <c r="F46" s="4" t="n">
        <v>0.16</v>
      </c>
      <c r="G46" s="2" t="n">
        <f aca="false">F46/(1-F46)</f>
        <v>0.190476190476191</v>
      </c>
      <c r="H46" s="2" t="n">
        <f aca="false">$B$4/(G46+1)</f>
        <v>0.8064</v>
      </c>
      <c r="I46" s="2" t="n">
        <f aca="false">IF($B$10&lt;&gt;1,(H46-$B$18)/($B$17-F46),$B$3)</f>
        <v>0.703222977605119</v>
      </c>
      <c r="J46" s="2" t="n">
        <f aca="false">IF($B$10&lt;&gt;1,I46*$B$17+$B$18,$B$3)</f>
        <v>0.918915676416819</v>
      </c>
      <c r="K46" s="2" t="e">
        <f aca="false">IF(VLOOKUP(I46,equil,2,1)&gt;J46,J46,NA())</f>
        <v>#N/A</v>
      </c>
      <c r="P46" s="35"/>
      <c r="Q46" s="35"/>
      <c r="R46" s="35"/>
      <c r="S46" s="35"/>
      <c r="T46" s="35"/>
      <c r="AMC46" s="0"/>
      <c r="AMD46" s="0"/>
      <c r="AME46" s="0"/>
      <c r="AMF46" s="0"/>
      <c r="AMG46" s="0"/>
      <c r="AMH46" s="0"/>
      <c r="AMI46" s="0"/>
      <c r="AMJ46" s="0"/>
    </row>
    <row r="47" customFormat="false" ht="12.8" hidden="false" customHeight="false" outlineLevel="0" collapsed="false">
      <c r="A47" s="45" t="n">
        <v>1</v>
      </c>
      <c r="B47" s="50"/>
      <c r="C47" s="51" t="n">
        <f aca="false">IF(D46&gt;$B$5,IF(D46&gt;$B$28,$B$21*D46+$B$22,D46*$B$32+$B$33),NA())</f>
        <v>0.960000000000001</v>
      </c>
      <c r="D47" s="52" t="n">
        <f aca="false">=IF(ISNA(VLOOKUP(C47,equil, 2,0)), INDEX(equil,MATCH(C47,equil_y,1),1)+(C47-INDEX(equil,MATCH(C47,equil_y),2))*(INDEX(equil,MATCH(C47,equil_y,1)+1,1)-INDEX(equil,MATCH(C47,equil_y,1),1))/(INDEX(equil,MATCH(C47,equil_y)+1,2)-INDEX(equil,MATCH(C47,equil_y),2)), VLOOKUP(C47,equil_xcurve, 2,0))</f>
        <v>0.945376712328768</v>
      </c>
      <c r="E47" s="52" t="n">
        <f aca="false">D47</f>
        <v>0.945376712328768</v>
      </c>
      <c r="F47" s="4" t="n">
        <v>0.17</v>
      </c>
      <c r="G47" s="2" t="n">
        <f aca="false">F47/(1-F47)</f>
        <v>0.204819277108434</v>
      </c>
      <c r="H47" s="2" t="n">
        <f aca="false">$B$4/(G47+1)</f>
        <v>0.7968</v>
      </c>
      <c r="I47" s="2" t="n">
        <f aca="false">IF($B$10&lt;&gt;1,(H47-$B$18)/($B$17-F47),$B$3)</f>
        <v>0.70207547575838</v>
      </c>
      <c r="J47" s="2" t="n">
        <f aca="false">IF($B$10&lt;&gt;1,I47*$B$17+$B$18,$B$3)</f>
        <v>0.916152830878925</v>
      </c>
      <c r="K47" s="2" t="e">
        <f aca="false">IF(VLOOKUP(I47,equil,2,1)&gt;J47,J47,NA())</f>
        <v>#N/A</v>
      </c>
      <c r="P47" s="35"/>
      <c r="Q47" s="35"/>
      <c r="R47" s="35"/>
      <c r="S47" s="35"/>
      <c r="T47" s="35"/>
      <c r="AMC47" s="0"/>
      <c r="AMD47" s="0"/>
      <c r="AME47" s="0"/>
      <c r="AMF47" s="0"/>
      <c r="AMG47" s="0"/>
      <c r="AMH47" s="0"/>
      <c r="AMI47" s="0"/>
      <c r="AMJ47" s="0"/>
    </row>
    <row r="48" customFormat="false" ht="12.8" hidden="false" customHeight="false" outlineLevel="0" collapsed="false">
      <c r="A48" s="45" t="n">
        <v>2</v>
      </c>
      <c r="B48" s="50" t="n">
        <f aca="false">C47</f>
        <v>0.960000000000001</v>
      </c>
      <c r="C48" s="51" t="n">
        <f aca="false">IF(D47&gt;$B$5,IF(D47&gt;$B$28,$B$21*D47+$B$22,D47*$B$32+$B$33),NA())</f>
        <v>0.952995568090251</v>
      </c>
      <c r="D48" s="52" t="n">
        <f aca="false">=IF(ISNA(VLOOKUP(C48,equil, 2,0)), INDEX(equil,MATCH(C48,equil_y,1),1)+(C48-INDEX(equil,MATCH(C48,equil_y),2))*(INDEX(equil,MATCH(C48,equil_y,1)+1,1)-INDEX(equil,MATCH(C48,equil_y,1),1))/(INDEX(equil,MATCH(C48,equil_y)+1,2)-INDEX(equil,MATCH(C48,equil_y),2)), VLOOKUP(C48,equil_xcurve, 2,0))</f>
        <v>0.933382822072348</v>
      </c>
      <c r="E48" s="52" t="n">
        <f aca="false">D48</f>
        <v>0.933382822072348</v>
      </c>
      <c r="F48" s="4" t="n">
        <v>0.18</v>
      </c>
      <c r="G48" s="2" t="n">
        <f aca="false">F48/(1-F48)</f>
        <v>0.219512195121951</v>
      </c>
      <c r="H48" s="2" t="n">
        <f aca="false">$B$4/(G48+1)</f>
        <v>0.7872</v>
      </c>
      <c r="I48" s="2" t="n">
        <f aca="false">IF($B$10&lt;&gt;1,(H48-$B$18)/($B$17-F48),$B$3)</f>
        <v>0.700917671811278</v>
      </c>
      <c r="J48" s="2" t="n">
        <f aca="false">IF($B$10&lt;&gt;1,I48*$B$17+$B$18,$B$3)</f>
        <v>0.91336518092603</v>
      </c>
      <c r="K48" s="2" t="e">
        <f aca="false">IF(VLOOKUP(I48,equil,2,1)&gt;J48,J48,NA())</f>
        <v>#N/A</v>
      </c>
      <c r="P48" s="35"/>
      <c r="Q48" s="35"/>
      <c r="R48" s="35"/>
      <c r="S48" s="35"/>
      <c r="T48" s="35"/>
      <c r="AMC48" s="0"/>
      <c r="AMD48" s="0"/>
      <c r="AME48" s="0"/>
      <c r="AMF48" s="0"/>
      <c r="AMG48" s="0"/>
      <c r="AMH48" s="0"/>
      <c r="AMI48" s="0"/>
      <c r="AMJ48" s="0"/>
    </row>
    <row r="49" customFormat="false" ht="12.8" hidden="false" customHeight="false" outlineLevel="0" collapsed="false">
      <c r="A49" s="45" t="n">
        <v>3</v>
      </c>
      <c r="B49" s="50" t="n">
        <f aca="false">C48</f>
        <v>0.952995568090251</v>
      </c>
      <c r="C49" s="51" t="n">
        <f aca="false">IF(D48&gt;$B$5,IF(D48&gt;$B$28,$B$21*D48+$B$22,D48*$B$32+$B$33),NA())</f>
        <v>0.94725059544642</v>
      </c>
      <c r="D49" s="52" t="n">
        <f aca="false">=IF(ISNA(VLOOKUP(C49,equil, 2,0)), INDEX(equil,MATCH(C49,equil_y,1),1)+(C49-INDEX(equil,MATCH(C49,equil_y),2))*(INDEX(equil,MATCH(C49,equil_y,1)+1,1)-INDEX(equil,MATCH(C49,equil_y,1),1))/(INDEX(equil,MATCH(C49,equil_y)+1,2)-INDEX(equil,MATCH(C49,equil_y),2)), VLOOKUP(C49,equil_xcurve, 2,0))</f>
        <v>0.923545540147979</v>
      </c>
      <c r="E49" s="52" t="n">
        <f aca="false">D49</f>
        <v>0.923545540147979</v>
      </c>
      <c r="F49" s="4" t="n">
        <v>0.19</v>
      </c>
      <c r="G49" s="2" t="n">
        <f aca="false">F49/(1-F49)</f>
        <v>0.234567901234568</v>
      </c>
      <c r="H49" s="2" t="n">
        <f aca="false">$B$4/(G49+1)</f>
        <v>0.7776</v>
      </c>
      <c r="I49" s="2" t="n">
        <f aca="false">IF($B$10&lt;&gt;1,(H49-$B$18)/($B$17-F49),$B$3)</f>
        <v>0.699749426402148</v>
      </c>
      <c r="J49" s="2" t="n">
        <f aca="false">IF($B$10&lt;&gt;1,I49*$B$17+$B$18,$B$3)</f>
        <v>0.910552391016408</v>
      </c>
      <c r="K49" s="2" t="e">
        <f aca="false">IF(VLOOKUP(I49,equil,2,1)&gt;J49,J49,NA())</f>
        <v>#N/A</v>
      </c>
      <c r="P49" s="35"/>
      <c r="Q49" s="35"/>
      <c r="R49" s="35"/>
      <c r="S49" s="35"/>
      <c r="T49" s="35"/>
      <c r="AMC49" s="0"/>
      <c r="AMD49" s="0"/>
      <c r="AME49" s="0"/>
      <c r="AMF49" s="0"/>
      <c r="AMG49" s="0"/>
      <c r="AMH49" s="0"/>
      <c r="AMI49" s="0"/>
      <c r="AMJ49" s="0"/>
    </row>
    <row r="50" customFormat="false" ht="12.8" hidden="false" customHeight="false" outlineLevel="0" collapsed="false">
      <c r="A50" s="45" t="n">
        <v>4</v>
      </c>
      <c r="B50" s="50" t="n">
        <f aca="false">C49</f>
        <v>0.94725059544642</v>
      </c>
      <c r="C50" s="51" t="n">
        <f aca="false">IF(D49&gt;$B$5,IF(D49&gt;$B$28,$B$21*D49+$B$22,D49*$B$32+$B$33),NA())</f>
        <v>0.942538620070881</v>
      </c>
      <c r="D50" s="52" t="n">
        <f aca="false">=IF(ISNA(VLOOKUP(C50,equil, 2,0)), INDEX(equil,MATCH(C50,equil_y,1),1)+(C50-INDEX(equil,MATCH(C50,equil_y),2))*(INDEX(equil,MATCH(C50,equil_y,1)+1,1)-INDEX(equil,MATCH(C50,equil_y,1),1))/(INDEX(equil,MATCH(C50,equil_y)+1,2)-INDEX(equil,MATCH(C50,equil_y),2)), VLOOKUP(C50,equil_xcurve, 2,0))</f>
        <v>0.915477089162468</v>
      </c>
      <c r="E50" s="52" t="n">
        <f aca="false">D50</f>
        <v>0.915477089162468</v>
      </c>
      <c r="F50" s="4" t="n">
        <v>0.2</v>
      </c>
      <c r="G50" s="2" t="n">
        <f aca="false">F50/(1-F50)</f>
        <v>0.25</v>
      </c>
      <c r="H50" s="2" t="n">
        <f aca="false">$B$4/(G50+1)</f>
        <v>0.768</v>
      </c>
      <c r="I50" s="2" t="n">
        <f aca="false">IF($B$10&lt;&gt;1,(H50-$B$18)/($B$17-F50),$B$3)</f>
        <v>0.698570597644322</v>
      </c>
      <c r="J50" s="2" t="n">
        <f aca="false">IF($B$10&lt;&gt;1,I50*$B$17+$B$18,$B$3)</f>
        <v>0.907714119528865</v>
      </c>
      <c r="K50" s="2" t="e">
        <f aca="false">IF(VLOOKUP(I50,equil,2,1)&gt;J50,J50,NA())</f>
        <v>#N/A</v>
      </c>
      <c r="P50" s="35"/>
      <c r="Q50" s="35"/>
      <c r="R50" s="35"/>
      <c r="S50" s="35"/>
      <c r="T50" s="35"/>
      <c r="AMC50" s="0"/>
      <c r="AMD50" s="0"/>
      <c r="AME50" s="0"/>
      <c r="AMF50" s="0"/>
      <c r="AMG50" s="0"/>
      <c r="AMH50" s="0"/>
      <c r="AMI50" s="0"/>
      <c r="AMJ50" s="0"/>
    </row>
    <row r="51" customFormat="false" ht="12.8" hidden="false" customHeight="false" outlineLevel="0" collapsed="false">
      <c r="A51" s="45" t="n">
        <v>5</v>
      </c>
      <c r="B51" s="50" t="n">
        <f aca="false">C50</f>
        <v>0.942538620070881</v>
      </c>
      <c r="C51" s="51" t="n">
        <f aca="false">IF(D50&gt;$B$5,IF(D50&gt;$B$28,$B$21*D50+$B$22,D50*$B$32+$B$33),NA())</f>
        <v>0.938673899850931</v>
      </c>
      <c r="D51" s="52" t="n">
        <f aca="false">=IF(ISNA(VLOOKUP(C51,equil, 2,0)), INDEX(equil,MATCH(C51,equil_y,1),1)+(C51-INDEX(equil,MATCH(C51,equil_y),2))*(INDEX(equil,MATCH(C51,equil_y,1)+1,1)-INDEX(equil,MATCH(C51,equil_y,1),1))/(INDEX(equil,MATCH(C51,equil_y)+1,2)-INDEX(equil,MATCH(C51,equil_y),2)), VLOOKUP(C51,equil_xcurve, 2,0))</f>
        <v>0.908859417552964</v>
      </c>
      <c r="E51" s="52" t="n">
        <f aca="false">D51</f>
        <v>0.908859417552964</v>
      </c>
      <c r="F51" s="4" t="n">
        <v>0.21</v>
      </c>
      <c r="G51" s="2" t="n">
        <f aca="false">F51/(1-F51)</f>
        <v>0.265822784810127</v>
      </c>
      <c r="H51" s="2" t="n">
        <f aca="false">$B$4/(G51+1)</f>
        <v>0.7584</v>
      </c>
      <c r="I51" s="2" t="n">
        <f aca="false">IF($B$10&lt;&gt;1,(H51-$B$18)/($B$17-F51),$B$3)</f>
        <v>0.697381041068677</v>
      </c>
      <c r="J51" s="2" t="n">
        <f aca="false">IF($B$10&lt;&gt;1,I51*$B$17+$B$18,$B$3)</f>
        <v>0.904850018624422</v>
      </c>
      <c r="K51" s="2" t="e">
        <f aca="false">IF(VLOOKUP(I51,equil,2,1)&gt;J51,J51,NA())</f>
        <v>#N/A</v>
      </c>
      <c r="P51" s="35"/>
      <c r="Q51" s="35"/>
      <c r="R51" s="35"/>
      <c r="S51" s="35"/>
      <c r="T51" s="35"/>
      <c r="AMC51" s="0"/>
      <c r="AMD51" s="0"/>
      <c r="AME51" s="0"/>
      <c r="AMF51" s="0"/>
      <c r="AMG51" s="0"/>
      <c r="AMH51" s="0"/>
      <c r="AMI51" s="0"/>
      <c r="AMJ51" s="0"/>
    </row>
    <row r="52" customFormat="false" ht="12.8" hidden="false" customHeight="false" outlineLevel="0" collapsed="false">
      <c r="A52" s="45" t="n">
        <v>6</v>
      </c>
      <c r="B52" s="50" t="n">
        <f aca="false">C51</f>
        <v>0.938673899850931</v>
      </c>
      <c r="C52" s="51" t="n">
        <f aca="false">IF(D51&gt;$B$5,IF(D51&gt;$B$28,$B$21*D51+$B$22,D51*$B$32+$B$33),NA())</f>
        <v>0.935504090760664</v>
      </c>
      <c r="D52" s="52" t="n">
        <f aca="false">=IF(ISNA(VLOOKUP(C52,equil, 2,0)), INDEX(equil,MATCH(C52,equil_y,1),1)+(C52-INDEX(equil,MATCH(C52,equil_y),2))*(INDEX(equil,MATCH(C52,equil_y,1)+1,1)-INDEX(equil,MATCH(C52,equil_y,1),1))/(INDEX(equil,MATCH(C52,equil_y)+1,2)-INDEX(equil,MATCH(C52,equil_y),2)), VLOOKUP(C52,equil_xcurve, 2,0))</f>
        <v>0.903431662261411</v>
      </c>
      <c r="E52" s="52" t="n">
        <f aca="false">D52</f>
        <v>0.903431662261411</v>
      </c>
      <c r="F52" s="4" t="n">
        <v>0.22</v>
      </c>
      <c r="G52" s="2" t="n">
        <f aca="false">F52/(1-F52)</f>
        <v>0.282051282051282</v>
      </c>
      <c r="H52" s="2" t="n">
        <f aca="false">$B$4/(G52+1)</f>
        <v>0.7488</v>
      </c>
      <c r="I52" s="2" t="n">
        <f aca="false">IF($B$10&lt;&gt;1,(H52-$B$18)/($B$17-F52),$B$3)</f>
        <v>0.696180609564618</v>
      </c>
      <c r="J52" s="2" t="n">
        <f aca="false">IF($B$10&lt;&gt;1,I52*$B$17+$B$18,$B$3)</f>
        <v>0.901959734104216</v>
      </c>
      <c r="K52" s="2" t="e">
        <f aca="false">IF(VLOOKUP(I52,equil,2,1)&gt;J52,J52,NA())</f>
        <v>#N/A</v>
      </c>
      <c r="P52" s="35"/>
      <c r="Q52" s="35"/>
      <c r="R52" s="35"/>
      <c r="S52" s="35"/>
      <c r="T52" s="35"/>
      <c r="AMC52" s="0"/>
      <c r="AMD52" s="0"/>
      <c r="AME52" s="0"/>
      <c r="AMF52" s="0"/>
      <c r="AMG52" s="0"/>
      <c r="AMH52" s="0"/>
      <c r="AMI52" s="0"/>
      <c r="AMJ52" s="0"/>
    </row>
    <row r="53" customFormat="false" ht="12.8" hidden="false" customHeight="false" outlineLevel="0" collapsed="false">
      <c r="A53" s="45" t="n">
        <v>7</v>
      </c>
      <c r="B53" s="50" t="n">
        <f aca="false">C52</f>
        <v>0.935504090760664</v>
      </c>
      <c r="C53" s="51" t="n">
        <f aca="false">IF(D52&gt;$B$5,IF(D52&gt;$B$28,$B$21*D52+$B$22,D52*$B$32+$B$33),NA())</f>
        <v>0.932904241587399</v>
      </c>
      <c r="D53" s="52" t="n">
        <f aca="false">=IF(ISNA(VLOOKUP(C53,equil, 2,0)), INDEX(equil,MATCH(C53,equil_y,1),1)+(C53-INDEX(equil,MATCH(C53,equil_y),2))*(INDEX(equil,MATCH(C53,equil_y,1)+1,1)-INDEX(equil,MATCH(C53,equil_y,1),1))/(INDEX(equil,MATCH(C53,equil_y)+1,2)-INDEX(equil,MATCH(C53,equil_y),2)), VLOOKUP(C53,equil_xcurve, 2,0))</f>
        <v>0.898452575551687</v>
      </c>
      <c r="E53" s="52" t="n">
        <f aca="false">D53</f>
        <v>0.898452575551687</v>
      </c>
      <c r="F53" s="4" t="n">
        <v>0.23</v>
      </c>
      <c r="G53" s="2" t="n">
        <f aca="false">F53/(1-F53)</f>
        <v>0.298701298701299</v>
      </c>
      <c r="H53" s="2" t="n">
        <f aca="false">$B$4/(G53+1)</f>
        <v>0.7392</v>
      </c>
      <c r="I53" s="2" t="n">
        <f aca="false">IF($B$10&lt;&gt;1,(H53-$B$18)/($B$17-F53),$B$3)</f>
        <v>0.694969153319427</v>
      </c>
      <c r="J53" s="2" t="n">
        <f aca="false">IF($B$10&lt;&gt;1,I53*$B$17+$B$18,$B$3)</f>
        <v>0.899042905263468</v>
      </c>
      <c r="K53" s="2" t="e">
        <f aca="false">IF(VLOOKUP(I53,equil,2,1)&gt;J53,J53,NA())</f>
        <v>#N/A</v>
      </c>
      <c r="P53" s="35"/>
      <c r="Q53" s="35"/>
      <c r="R53" s="35"/>
      <c r="S53" s="35"/>
      <c r="T53" s="35"/>
      <c r="AMC53" s="0"/>
      <c r="AMD53" s="0"/>
      <c r="AME53" s="0"/>
      <c r="AMF53" s="0"/>
      <c r="AMG53" s="0"/>
      <c r="AMH53" s="0"/>
      <c r="AMI53" s="0"/>
      <c r="AMJ53" s="0"/>
    </row>
    <row r="54" customFormat="false" ht="12.8" hidden="false" customHeight="false" outlineLevel="0" collapsed="false">
      <c r="A54" s="45" t="n">
        <v>8</v>
      </c>
      <c r="B54" s="50" t="n">
        <f aca="false">C53</f>
        <v>0.932904241587399</v>
      </c>
      <c r="C54" s="51" t="n">
        <f aca="false">IF(D53&gt;$B$5,IF(D53&gt;$B$28,$B$21*D53+$B$22,D53*$B$32+$B$33),NA())</f>
        <v>0.930519300894506</v>
      </c>
      <c r="D54" s="52" t="n">
        <f aca="false">=IF(ISNA(VLOOKUP(C54,equil, 2,0)), INDEX(equil,MATCH(C54,equil_y,1),1)+(C54-INDEX(equil,MATCH(C54,equil_y),2))*(INDEX(equil,MATCH(C54,equil_y,1)+1,1)-INDEX(equil,MATCH(C54,equil_y,1),1))/(INDEX(equil,MATCH(C54,equil_y)+1,2)-INDEX(equil,MATCH(C54,equil_y),2)), VLOOKUP(C54,equil_xcurve, 2,0))</f>
        <v>0.892257924401315</v>
      </c>
      <c r="E54" s="52" t="n">
        <f aca="false">D54</f>
        <v>0.892257924401315</v>
      </c>
      <c r="F54" s="4" t="n">
        <v>0.24</v>
      </c>
      <c r="G54" s="2" t="n">
        <f aca="false">F54/(1-F54)</f>
        <v>0.31578947368421</v>
      </c>
      <c r="H54" s="2" t="n">
        <f aca="false">$B$4/(G54+1)</f>
        <v>0.7296</v>
      </c>
      <c r="I54" s="2" t="n">
        <f aca="false">IF($B$10&lt;&gt;1,(H54-$B$18)/($B$17-F54),$B$3)</f>
        <v>0.693746519755939</v>
      </c>
      <c r="J54" s="2" t="n">
        <f aca="false">IF($B$10&lt;&gt;1,I54*$B$17+$B$18,$B$3)</f>
        <v>0.896099164741425</v>
      </c>
      <c r="K54" s="2" t="e">
        <f aca="false">IF(VLOOKUP(I54,equil,2,1)&gt;J54,J54,NA())</f>
        <v>#N/A</v>
      </c>
      <c r="P54" s="35"/>
      <c r="Q54" s="35"/>
      <c r="R54" s="35"/>
      <c r="S54" s="35"/>
      <c r="T54" s="35"/>
      <c r="AMC54" s="0"/>
      <c r="AMD54" s="0"/>
      <c r="AME54" s="0"/>
      <c r="AMF54" s="0"/>
      <c r="AMG54" s="0"/>
      <c r="AMH54" s="0"/>
      <c r="AMI54" s="0"/>
      <c r="AMJ54" s="0"/>
    </row>
    <row r="55" customFormat="false" ht="12.8" hidden="false" customHeight="false" outlineLevel="0" collapsed="false">
      <c r="A55" s="45" t="n">
        <v>9</v>
      </c>
      <c r="B55" s="50" t="n">
        <f aca="false">C54</f>
        <v>0.930519300894506</v>
      </c>
      <c r="C55" s="51" t="n">
        <f aca="false">IF(D54&gt;$B$5,IF(D54&gt;$B$28,$B$21*D54+$B$22,D54*$B$32+$B$33),NA())</f>
        <v>0.92755211504937</v>
      </c>
      <c r="D55" s="52" t="n">
        <f aca="false">=IF(ISNA(VLOOKUP(C55,equil, 2,0)), INDEX(equil,MATCH(C55,equil_y,1),1)+(C55-INDEX(equil,MATCH(C55,equil_y),2))*(INDEX(equil,MATCH(C55,equil_y,1)+1,1)-INDEX(equil,MATCH(C55,equil_y,1),1))/(INDEX(equil,MATCH(C55,equil_y)+1,2)-INDEX(equil,MATCH(C55,equil_y),2)), VLOOKUP(C55,equil_xcurve, 2,0))</f>
        <v>0.884550948180182</v>
      </c>
      <c r="E55" s="52" t="n">
        <f aca="false">D55</f>
        <v>0.884550948180182</v>
      </c>
      <c r="F55" s="4" t="n">
        <v>0.25</v>
      </c>
      <c r="G55" s="2" t="n">
        <f aca="false">F55/(1-F55)</f>
        <v>0.333333333333333</v>
      </c>
      <c r="H55" s="2" t="n">
        <f aca="false">$B$4/(G55+1)</f>
        <v>0.72</v>
      </c>
      <c r="I55" s="2" t="n">
        <f aca="false">IF($B$10&lt;&gt;1,(H55-$B$18)/($B$17-F55),$B$3)</f>
        <v>0.692512553468477</v>
      </c>
      <c r="J55" s="2" t="n">
        <f aca="false">IF($B$10&lt;&gt;1,I55*$B$17+$B$18,$B$3)</f>
        <v>0.893128138367119</v>
      </c>
      <c r="K55" s="2" t="e">
        <f aca="false">IF(VLOOKUP(I55,equil,2,1)&gt;J55,J55,NA())</f>
        <v>#N/A</v>
      </c>
      <c r="P55" s="35"/>
      <c r="Q55" s="35"/>
      <c r="R55" s="35"/>
      <c r="S55" s="35"/>
      <c r="T55" s="35"/>
      <c r="AMC55" s="0"/>
      <c r="AMD55" s="0"/>
      <c r="AME55" s="0"/>
      <c r="AMF55" s="0"/>
      <c r="AMG55" s="0"/>
      <c r="AMH55" s="0"/>
      <c r="AMI55" s="0"/>
      <c r="AMJ55" s="0"/>
    </row>
    <row r="56" customFormat="false" ht="12.8" hidden="false" customHeight="false" outlineLevel="0" collapsed="false">
      <c r="A56" s="45" t="n">
        <v>10</v>
      </c>
      <c r="B56" s="50" t="n">
        <f aca="false">C55</f>
        <v>0.92755211504937</v>
      </c>
      <c r="C56" s="51" t="n">
        <f aca="false">IF(D55&gt;$B$5,IF(D55&gt;$B$28,$B$21*D55+$B$22,D55*$B$32+$B$33),NA())</f>
        <v>0.923860538203954</v>
      </c>
      <c r="D56" s="52" t="n">
        <f aca="false">=IF(ISNA(VLOOKUP(C56,equil, 2,0)), INDEX(equil,MATCH(C56,equil_y,1),1)+(C56-INDEX(equil,MATCH(C56,equil_y),2))*(INDEX(equil,MATCH(C56,equil_y,1)+1,1)-INDEX(equil,MATCH(C56,equil_y,1),1))/(INDEX(equil,MATCH(C56,equil_y)+1,2)-INDEX(equil,MATCH(C56,equil_y),2)), VLOOKUP(C56,equil_xcurve, 2,0))</f>
        <v>0.874962436893386</v>
      </c>
      <c r="E56" s="52" t="n">
        <f aca="false">D56</f>
        <v>0.874962436893386</v>
      </c>
      <c r="F56" s="4" t="n">
        <v>0.26</v>
      </c>
      <c r="G56" s="2" t="n">
        <f aca="false">F56/(1-F56)</f>
        <v>0.351351351351351</v>
      </c>
      <c r="H56" s="2" t="n">
        <f aca="false">$B$4/(G56+1)</f>
        <v>0.7104</v>
      </c>
      <c r="I56" s="2" t="n">
        <f aca="false">IF($B$10&lt;&gt;1,(H56-$B$18)/($B$17-F56),$B$3)</f>
        <v>0.691267096157008</v>
      </c>
      <c r="J56" s="2" t="n">
        <f aca="false">IF($B$10&lt;&gt;1,I56*$B$17+$B$18,$B$3)</f>
        <v>0.890129445000822</v>
      </c>
      <c r="K56" s="2" t="e">
        <f aca="false">IF(VLOOKUP(I56,equil,2,1)&gt;J56,J56,NA())</f>
        <v>#N/A</v>
      </c>
      <c r="AMC56" s="0"/>
      <c r="AMD56" s="0"/>
      <c r="AME56" s="0"/>
      <c r="AMF56" s="0"/>
      <c r="AMG56" s="0"/>
      <c r="AMH56" s="0"/>
      <c r="AMI56" s="0"/>
      <c r="AMJ56" s="0"/>
    </row>
    <row r="57" customFormat="false" ht="12.8" hidden="false" customHeight="false" outlineLevel="0" collapsed="false">
      <c r="A57" s="45" t="n">
        <v>11</v>
      </c>
      <c r="B57" s="50" t="n">
        <f aca="false">C56</f>
        <v>0.923860538203954</v>
      </c>
      <c r="C57" s="51" t="n">
        <f aca="false">IF(D56&gt;$B$5,IF(D56&gt;$B$28,$B$21*D56+$B$22,D56*$B$32+$B$33),NA())</f>
        <v>0.919267721873304</v>
      </c>
      <c r="D57" s="52" t="n">
        <f aca="false">=IF(ISNA(VLOOKUP(C57,equil, 2,0)), INDEX(equil,MATCH(C57,equil_y,1),1)+(C57-INDEX(equil,MATCH(C57,equil_y),2))*(INDEX(equil,MATCH(C57,equil_y,1)+1,1)-INDEX(equil,MATCH(C57,equil_y,1),1))/(INDEX(equil,MATCH(C57,equil_y)+1,2)-INDEX(equil,MATCH(C57,equil_y),2)), VLOOKUP(C57,equil_xcurve, 2,0))</f>
        <v>0.863033043826762</v>
      </c>
      <c r="E57" s="52" t="n">
        <f aca="false">D57</f>
        <v>0.863033043826762</v>
      </c>
      <c r="F57" s="4" t="n">
        <v>0.27</v>
      </c>
      <c r="G57" s="2" t="n">
        <f aca="false">F57/(1-F57)</f>
        <v>0.36986301369863</v>
      </c>
      <c r="H57" s="2" t="n">
        <f aca="false">$B$4/(G57+1)</f>
        <v>0.7008</v>
      </c>
      <c r="I57" s="2" t="n">
        <f aca="false">IF($B$10&lt;&gt;1,(H57-$B$18)/($B$17-F57),$B$3)</f>
        <v>0.690009986559442</v>
      </c>
      <c r="J57" s="2" t="n">
        <f aca="false">IF($B$10&lt;&gt;1,I57*$B$17+$B$18,$B$3)</f>
        <v>0.887102696371049</v>
      </c>
      <c r="K57" s="2" t="e">
        <f aca="false">IF(VLOOKUP(I57,equil,2,1)&gt;J57,J57,NA())</f>
        <v>#N/A</v>
      </c>
      <c r="AMC57" s="0"/>
      <c r="AMD57" s="0"/>
      <c r="AME57" s="0"/>
      <c r="AMF57" s="0"/>
      <c r="AMG57" s="0"/>
      <c r="AMH57" s="0"/>
      <c r="AMI57" s="0"/>
      <c r="AMJ57" s="0"/>
    </row>
    <row r="58" customFormat="false" ht="12.8" hidden="false" customHeight="false" outlineLevel="0" collapsed="false">
      <c r="A58" s="45" t="n">
        <v>12</v>
      </c>
      <c r="B58" s="50" t="n">
        <f aca="false">C57</f>
        <v>0.919267721873304</v>
      </c>
      <c r="C58" s="51" t="n">
        <f aca="false">IF(D57&gt;$B$5,IF(D57&gt;$B$28,$B$21*D57+$B$22,D57*$B$32+$B$33),NA())</f>
        <v>0.913553642841391</v>
      </c>
      <c r="D58" s="52" t="n">
        <f aca="false">=IF(ISNA(VLOOKUP(C58,equil, 2,0)), INDEX(equil,MATCH(C58,equil_y,1),1)+(C58-INDEX(equil,MATCH(C58,equil_y),2))*(INDEX(equil,MATCH(C58,equil_y,1)+1,1)-INDEX(equil,MATCH(C58,equil_y,1),1))/(INDEX(equil,MATCH(C58,equil_y)+1,2)-INDEX(equil,MATCH(C58,equil_y),2)), VLOOKUP(C58,equil_xcurve, 2,0))</f>
        <v>0.84819128010751</v>
      </c>
      <c r="E58" s="52" t="n">
        <f aca="false">D58</f>
        <v>0.84819128010751</v>
      </c>
      <c r="F58" s="4" t="n">
        <v>0.28</v>
      </c>
      <c r="G58" s="2" t="n">
        <f aca="false">F58/(1-F58)</f>
        <v>0.388888888888889</v>
      </c>
      <c r="H58" s="2" t="n">
        <f aca="false">$B$4/(G58+1)</f>
        <v>0.6912</v>
      </c>
      <c r="I58" s="2" t="n">
        <f aca="false">IF($B$10&lt;&gt;1,(H58-$B$18)/($B$17-F58),$B$3)</f>
        <v>0.688741060382027</v>
      </c>
      <c r="J58" s="2" t="n">
        <f aca="false">IF($B$10&lt;&gt;1,I58*$B$17+$B$18,$B$3)</f>
        <v>0.884047496906968</v>
      </c>
      <c r="K58" s="2" t="e">
        <f aca="false">IF(VLOOKUP(I58,equil,2,1)&gt;J58,J58,NA())</f>
        <v>#N/A</v>
      </c>
      <c r="AMC58" s="0"/>
      <c r="AMD58" s="0"/>
      <c r="AME58" s="0"/>
      <c r="AMF58" s="0"/>
      <c r="AMG58" s="0"/>
      <c r="AMH58" s="0"/>
      <c r="AMI58" s="0"/>
      <c r="AMJ58" s="0"/>
    </row>
    <row r="59" customFormat="false" ht="12.8" hidden="false" customHeight="false" outlineLevel="0" collapsed="false">
      <c r="A59" s="45" t="n">
        <v>13</v>
      </c>
      <c r="B59" s="50" t="n">
        <f aca="false">C58</f>
        <v>0.913553642841391</v>
      </c>
      <c r="C59" s="51" t="n">
        <f aca="false">IF(D58&gt;$B$5,IF(D58&gt;$B$28,$B$21*D58+$B$22,D58*$B$32+$B$33),NA())</f>
        <v>0.906444562740573</v>
      </c>
      <c r="D59" s="52" t="n">
        <f aca="false">=IF(ISNA(VLOOKUP(C59,equil, 2,0)), INDEX(equil,MATCH(C59,equil_y,1),1)+(C59-INDEX(equil,MATCH(C59,equil_y),2))*(INDEX(equil,MATCH(C59,equil_y,1)+1,1)-INDEX(equil,MATCH(C59,equil_y,1),1))/(INDEX(equil,MATCH(C59,equil_y)+1,2)-INDEX(equil,MATCH(C59,equil_y),2)), VLOOKUP(C59,equil_xcurve, 2,0))</f>
        <v>0.829726136988501</v>
      </c>
      <c r="E59" s="52" t="n">
        <f aca="false">D59</f>
        <v>0.829726136988501</v>
      </c>
      <c r="F59" s="4" t="n">
        <v>0.29</v>
      </c>
      <c r="G59" s="2" t="n">
        <f aca="false">F59/(1-F59)</f>
        <v>0.408450704225352</v>
      </c>
      <c r="H59" s="2" t="n">
        <f aca="false">$B$4/(G59+1)</f>
        <v>0.6816</v>
      </c>
      <c r="I59" s="2" t="n">
        <f aca="false">IF($B$10&lt;&gt;1,(H59-$B$18)/($B$17-F59),$B$3)</f>
        <v>0.687460150227767</v>
      </c>
      <c r="J59" s="2" t="n">
        <f aca="false">IF($B$10&lt;&gt;1,I59*$B$17+$B$18,$B$3)</f>
        <v>0.880963443566052</v>
      </c>
      <c r="K59" s="2" t="e">
        <f aca="false">IF(VLOOKUP(I59,equil,2,1)&gt;J59,J59,NA())</f>
        <v>#N/A</v>
      </c>
      <c r="AMC59" s="0"/>
      <c r="AMD59" s="0"/>
      <c r="AME59" s="0"/>
      <c r="AMF59" s="0"/>
      <c r="AMG59" s="0"/>
      <c r="AMH59" s="0"/>
      <c r="AMI59" s="0"/>
      <c r="AMJ59" s="0"/>
    </row>
    <row r="60" customFormat="false" ht="12.8" hidden="false" customHeight="false" outlineLevel="0" collapsed="false">
      <c r="A60" s="45" t="n">
        <v>14</v>
      </c>
      <c r="B60" s="50" t="n">
        <f aca="false">C59</f>
        <v>0.906444562740573</v>
      </c>
      <c r="C60" s="51" t="n">
        <f aca="false">IF(D59&gt;$B$5,IF(D59&gt;$B$28,$B$21*D59+$B$22,D59*$B$32+$B$33),NA())</f>
        <v>0.897599914355837</v>
      </c>
      <c r="D60" s="52" t="n">
        <f aca="false">=IF(ISNA(VLOOKUP(C60,equil, 2,0)), INDEX(equil,MATCH(C60,equil_y,1),1)+(C60-INDEX(equil,MATCH(C60,equil_y),2))*(INDEX(equil,MATCH(C60,equil_y,1)+1,1)-INDEX(equil,MATCH(C60,equil_y,1),1))/(INDEX(equil,MATCH(C60,equil_y)+1,2)-INDEX(equil,MATCH(C60,equil_y),2)), VLOOKUP(C60,equil_xcurve, 2,0))</f>
        <v>0.806753024300876</v>
      </c>
      <c r="E60" s="52" t="n">
        <f aca="false">D60</f>
        <v>0.806753024300876</v>
      </c>
      <c r="F60" s="4" t="n">
        <v>0.3</v>
      </c>
      <c r="G60" s="2" t="n">
        <f aca="false">F60/(1-F60)</f>
        <v>0.428571428571429</v>
      </c>
      <c r="H60" s="2" t="n">
        <f aca="false">$B$4/(G60+1)</f>
        <v>0.672</v>
      </c>
      <c r="I60" s="2" t="n">
        <f aca="false">IF($B$10&lt;&gt;1,(H60-$B$18)/($B$17-F60),$B$3)</f>
        <v>0.686167085522809</v>
      </c>
      <c r="J60" s="2" t="n">
        <f aca="false">IF($B$10&lt;&gt;1,I60*$B$17+$B$18,$B$3)</f>
        <v>0.877850125656842</v>
      </c>
      <c r="K60" s="2" t="e">
        <f aca="false">IF(VLOOKUP(I60,equil,2,1)&gt;J60,J60,NA())</f>
        <v>#N/A</v>
      </c>
      <c r="AMC60" s="0"/>
      <c r="AMD60" s="0"/>
      <c r="AME60" s="0"/>
      <c r="AMF60" s="0"/>
      <c r="AMG60" s="0"/>
      <c r="AMH60" s="0"/>
      <c r="AMI60" s="0"/>
      <c r="AMJ60" s="0"/>
    </row>
    <row r="61" customFormat="false" ht="12.8" hidden="false" customHeight="false" outlineLevel="0" collapsed="false">
      <c r="A61" s="45" t="n">
        <v>15</v>
      </c>
      <c r="B61" s="50" t="n">
        <f aca="false">C60</f>
        <v>0.897599914355837</v>
      </c>
      <c r="C61" s="51" t="n">
        <f aca="false">IF(D60&gt;$B$5,IF(D60&gt;$B$28,$B$21*D60+$B$22,D60*$B$32+$B$33),NA())</f>
        <v>0.886595986429832</v>
      </c>
      <c r="D61" s="52" t="n">
        <f aca="false">=IF(ISNA(VLOOKUP(C61,equil, 2,0)), INDEX(equil,MATCH(C61,equil_y,1),1)+(C61-INDEX(equil,MATCH(C61,equil_y),2))*(INDEX(equil,MATCH(C61,equil_y,1)+1,1)-INDEX(equil,MATCH(C61,equil_y,1),1))/(INDEX(equil,MATCH(C61,equil_y)+1,2)-INDEX(equil,MATCH(C61,equil_y),2)), VLOOKUP(C61,equil_xcurve, 2,0))</f>
        <v>0.764689018612741</v>
      </c>
      <c r="E61" s="52" t="n">
        <f aca="false">D61</f>
        <v>0.764689018612741</v>
      </c>
      <c r="F61" s="4" t="n">
        <v>0.31</v>
      </c>
      <c r="G61" s="2" t="n">
        <f aca="false">F61/(1-F61)</f>
        <v>0.449275362318841</v>
      </c>
      <c r="H61" s="2" t="n">
        <f aca="false">$B$4/(G61+1)</f>
        <v>0.6624</v>
      </c>
      <c r="I61" s="2" t="n">
        <f aca="false">IF($B$10&lt;&gt;1,(H61-$B$18)/($B$17-F61),$B$3)</f>
        <v>0.684861692440717</v>
      </c>
      <c r="J61" s="2" t="n">
        <f aca="false">IF($B$10&lt;&gt;1,I61*$B$17+$B$18,$B$3)</f>
        <v>0.874707124656622</v>
      </c>
      <c r="K61" s="2" t="e">
        <f aca="false">IF(VLOOKUP(I61,equil,2,1)&gt;J61,J61,NA())</f>
        <v>#N/A</v>
      </c>
      <c r="AMC61" s="0"/>
      <c r="AMD61" s="0"/>
      <c r="AME61" s="0"/>
      <c r="AMF61" s="0"/>
      <c r="AMG61" s="0"/>
      <c r="AMH61" s="0"/>
      <c r="AMI61" s="0"/>
      <c r="AMJ61" s="0"/>
    </row>
    <row r="62" customFormat="false" ht="12.8" hidden="false" customHeight="false" outlineLevel="0" collapsed="false">
      <c r="A62" s="45" t="n">
        <v>16</v>
      </c>
      <c r="B62" s="50" t="n">
        <f aca="false">C61</f>
        <v>0.886595986429832</v>
      </c>
      <c r="C62" s="51" t="n">
        <f aca="false">IF(D61&gt;$B$5,IF(D61&gt;$B$28,$B$21*D61+$B$22,D61*$B$32+$B$33),NA())</f>
        <v>0.866447681184255</v>
      </c>
      <c r="D62" s="52" t="n">
        <f aca="false">=IF(ISNA(VLOOKUP(C62,equil, 2,0)), INDEX(equil,MATCH(C62,equil_y,1),1)+(C62-INDEX(equil,MATCH(C62,equil_y),2))*(INDEX(equil,MATCH(C62,equil_y,1)+1,1)-INDEX(equil,MATCH(C62,equil_y,1),1))/(INDEX(equil,MATCH(C62,equil_y)+1,2)-INDEX(equil,MATCH(C62,equil_y),2)), VLOOKUP(C62,equil_xcurve, 2,0))</f>
        <v>0.673598228801415</v>
      </c>
      <c r="E62" s="52" t="n">
        <f aca="false">D62</f>
        <v>0.673598228801415</v>
      </c>
      <c r="F62" s="4" t="n">
        <v>0.32</v>
      </c>
      <c r="G62" s="2" t="n">
        <f aca="false">F62/(1-F62)</f>
        <v>0.470588235294118</v>
      </c>
      <c r="H62" s="2" t="n">
        <f aca="false">$B$4/(G62+1)</f>
        <v>0.6528</v>
      </c>
      <c r="I62" s="2" t="n">
        <f aca="false">IF($B$10&lt;&gt;1,(H62-$B$18)/($B$17-F62),$B$3)</f>
        <v>0.683543793824579</v>
      </c>
      <c r="J62" s="2" t="n">
        <f aca="false">IF($B$10&lt;&gt;1,I62*$B$17+$B$18,$B$3)</f>
        <v>0.871534014023865</v>
      </c>
      <c r="K62" s="2" t="e">
        <f aca="false">IF(VLOOKUP(I62,equil,2,1)&gt;J62,J62,NA())</f>
        <v>#N/A</v>
      </c>
      <c r="AMC62" s="0"/>
      <c r="AMD62" s="0"/>
      <c r="AME62" s="0"/>
      <c r="AMF62" s="0"/>
      <c r="AMG62" s="0"/>
      <c r="AMH62" s="0"/>
      <c r="AMI62" s="0"/>
      <c r="AMJ62" s="0"/>
    </row>
    <row r="63" customFormat="false" ht="12.8" hidden="false" customHeight="false" outlineLevel="0" collapsed="false">
      <c r="A63" s="45" t="n">
        <v>17</v>
      </c>
      <c r="B63" s="50" t="n">
        <f aca="false">C62</f>
        <v>0.866447681184255</v>
      </c>
      <c r="C63" s="51" t="n">
        <f aca="false">IF(D62&gt;$B$5,IF(D62&gt;$B$28,$B$21*D62+$B$22,D62*$B$32+$B$33),NA())</f>
        <v>0.822815958333452</v>
      </c>
      <c r="D63" s="52" t="n">
        <f aca="false">=IF(ISNA(VLOOKUP(C63,equil, 2,0)), INDEX(equil,MATCH(C63,equil_y,1),1)+(C63-INDEX(equil,MATCH(C63,equil_y),2))*(INDEX(equil,MATCH(C63,equil_y,1)+1,1)-INDEX(equil,MATCH(C63,equil_y,1),1))/(INDEX(equil,MATCH(C63,equil_y)+1,2)-INDEX(equil,MATCH(C63,equil_y),2)), VLOOKUP(C63,equil_xcurve, 2,0))</f>
        <v>0.371834195403117</v>
      </c>
      <c r="E63" s="52" t="n">
        <f aca="false">D63</f>
        <v>0.371834195403117</v>
      </c>
      <c r="F63" s="4" t="n">
        <v>0.33</v>
      </c>
      <c r="G63" s="2" t="n">
        <f aca="false">F63/(1-F63)</f>
        <v>0.492537313432836</v>
      </c>
      <c r="H63" s="2" t="n">
        <f aca="false">$B$4/(G63+1)</f>
        <v>0.6432</v>
      </c>
      <c r="I63" s="2" t="n">
        <f aca="false">IF($B$10&lt;&gt;1,(H63-$B$18)/($B$17-F63),$B$3)</f>
        <v>0.682213209106852</v>
      </c>
      <c r="J63" s="2" t="n">
        <f aca="false">IF($B$10&lt;&gt;1,I63*$B$17+$B$18,$B$3)</f>
        <v>0.868330359005261</v>
      </c>
      <c r="K63" s="2" t="e">
        <f aca="false">IF(VLOOKUP(I63,equil,2,1)&gt;J63,J63,NA())</f>
        <v>#N/A</v>
      </c>
      <c r="AMC63" s="0"/>
      <c r="AMD63" s="0"/>
      <c r="AME63" s="0"/>
      <c r="AMF63" s="0"/>
      <c r="AMG63" s="0"/>
      <c r="AMH63" s="0"/>
      <c r="AMI63" s="0"/>
      <c r="AMJ63" s="0"/>
    </row>
    <row r="64" customFormat="false" ht="12.8" hidden="false" customHeight="false" outlineLevel="0" collapsed="false">
      <c r="A64" s="45" t="n">
        <v>18</v>
      </c>
      <c r="B64" s="50" t="n">
        <f aca="false">C63</f>
        <v>0.822815958333452</v>
      </c>
      <c r="C64" s="51" t="n">
        <f aca="false">IF(D63&gt;$B$5,IF(D63&gt;$B$28,$B$21*D63+$B$22,D63*$B$32+$B$33),NA())</f>
        <v>0.457443104880887</v>
      </c>
      <c r="D64" s="52" t="n">
        <f aca="false">=IF(ISNA(VLOOKUP(C64,equil, 2,0)), INDEX(equil,MATCH(C64,equil_y,1),1)+(C64-INDEX(equil,MATCH(C64,equil_y),2))*(INDEX(equil,MATCH(C64,equil_y,1)+1,1)-INDEX(equil,MATCH(C64,equil_y,1),1))/(INDEX(equil,MATCH(C64,equil_y)+1,2)-INDEX(equil,MATCH(C64,equil_y),2)), VLOOKUP(C64,equil_xcurve, 2,0))</f>
        <v>0.0358441549036897</v>
      </c>
      <c r="E64" s="52" t="n">
        <f aca="false">D64</f>
        <v>0.0358441549036897</v>
      </c>
      <c r="F64" s="4" t="n">
        <v>0.34</v>
      </c>
      <c r="G64" s="2" t="n">
        <f aca="false">F64/(1-F64)</f>
        <v>0.515151515151515</v>
      </c>
      <c r="H64" s="2" t="n">
        <f aca="false">$B$4/(G64+1)</f>
        <v>0.6336</v>
      </c>
      <c r="I64" s="2" t="n">
        <f aca="false">IF($B$10&lt;&gt;1,(H64-$B$18)/($B$17-F64),$B$3)</f>
        <v>0.680869754226894</v>
      </c>
      <c r="J64" s="2" t="n">
        <f aca="false">IF($B$10&lt;&gt;1,I64*$B$17+$B$18,$B$3)</f>
        <v>0.865095716437144</v>
      </c>
      <c r="K64" s="2" t="e">
        <f aca="false">IF(VLOOKUP(I64,equil,2,1)&gt;J64,J64,NA())</f>
        <v>#N/A</v>
      </c>
      <c r="AMC64" s="0"/>
      <c r="AMD64" s="0"/>
      <c r="AME64" s="0"/>
      <c r="AMF64" s="0"/>
      <c r="AMG64" s="0"/>
      <c r="AMH64" s="0"/>
      <c r="AMI64" s="0"/>
      <c r="AMJ64" s="0"/>
    </row>
    <row r="65" customFormat="false" ht="12.8" hidden="false" customHeight="false" outlineLevel="0" collapsed="false">
      <c r="A65" s="45" t="n">
        <v>19</v>
      </c>
      <c r="B65" s="50" t="n">
        <f aca="false">C64</f>
        <v>0.457443104880887</v>
      </c>
      <c r="C65" s="51" t="n">
        <f aca="false">IF(D64&gt;$B$5,IF(D64&gt;$B$28,$B$21*D64+$B$22,D64*$B$32+$B$33),NA())</f>
        <v>0.0396993822824486</v>
      </c>
      <c r="D65" s="52" t="n">
        <f aca="false">=IF(ISNA(VLOOKUP(C65,equil, 2,0)), INDEX(equil,MATCH(C65,equil_y,1),1)+(C65-INDEX(equil,MATCH(C65,equil_y),2))*(INDEX(equil,MATCH(C65,equil_y,1)+1,1)-INDEX(equil,MATCH(C65,equil_y,1),1))/(INDEX(equil,MATCH(C65,equil_y)+1,2)-INDEX(equil,MATCH(C65,equil_y),2)), VLOOKUP(C65,equil_xcurve, 2,0))</f>
        <v>0.00311074927773457</v>
      </c>
      <c r="E65" s="52" t="n">
        <f aca="false">D65</f>
        <v>0.00311074927773457</v>
      </c>
      <c r="F65" s="4" t="n">
        <v>0.35</v>
      </c>
      <c r="G65" s="2" t="n">
        <f aca="false">F65/(1-F65)</f>
        <v>0.538461538461539</v>
      </c>
      <c r="H65" s="2" t="n">
        <f aca="false">$B$4/(G65+1)</f>
        <v>0.624</v>
      </c>
      <c r="I65" s="2" t="n">
        <f aca="false">IF($B$10&lt;&gt;1,(H65-$B$18)/($B$17-F65),$B$3)</f>
        <v>0.679513241546082</v>
      </c>
      <c r="J65" s="2" t="n">
        <f aca="false">IF($B$10&lt;&gt;1,I65*$B$17+$B$18,$B$3)</f>
        <v>0.861829634541129</v>
      </c>
      <c r="K65" s="2" t="e">
        <f aca="false">IF(VLOOKUP(I65,equil,2,1)&gt;J65,J65,NA())</f>
        <v>#N/A</v>
      </c>
      <c r="AMC65" s="0"/>
      <c r="AMD65" s="0"/>
      <c r="AME65" s="0"/>
      <c r="AMF65" s="0"/>
      <c r="AMG65" s="0"/>
      <c r="AMH65" s="0"/>
      <c r="AMI65" s="0"/>
      <c r="AMJ65" s="0"/>
    </row>
    <row r="66" customFormat="false" ht="12.8" hidden="false" customHeight="false" outlineLevel="0" collapsed="false">
      <c r="A66" s="45" t="n">
        <v>20</v>
      </c>
      <c r="B66" s="50" t="n">
        <f aca="false">C65</f>
        <v>0.0396993822824486</v>
      </c>
      <c r="C66" s="51" t="e">
        <f aca="false">IF(D65&gt;$B$5,IF(D65&gt;$B$28,$B$21*D65+$B$22,D65*$B$32+$B$33),NA())</f>
        <v>#N/A</v>
      </c>
      <c r="D66" s="52" t="e">
        <f aca="false">=IF(ISNA(VLOOKUP(C66,equil, 2,0)), INDEX(equil,MATCH(C66,equil_y,1),1)+(C66-INDEX(equil,MATCH(C66,equil_y),2))*(INDEX(equil,MATCH(C66,equil_y,1)+1,1)-INDEX(equil,MATCH(C66,equil_y,1),1))/(INDEX(equil,MATCH(C66,equil_y)+1,2)-INDEX(equil,MATCH(C66,equil_y),2)), VLOOKUP(C66,equil_xcurve, 2,0))</f>
        <v>#N/A</v>
      </c>
      <c r="E66" s="52" t="e">
        <f aca="false">D66</f>
        <v>#N/A</v>
      </c>
      <c r="F66" s="4" t="n">
        <v>0.36</v>
      </c>
      <c r="G66" s="2" t="n">
        <f aca="false">F66/(1-F66)</f>
        <v>0.5625</v>
      </c>
      <c r="H66" s="2" t="n">
        <f aca="false">$B$4/(G66+1)</f>
        <v>0.6144</v>
      </c>
      <c r="I66" s="2" t="n">
        <f aca="false">IF($B$10&lt;&gt;1,(H66-$B$18)/($B$17-F66),$B$3)</f>
        <v>0.678143479760449</v>
      </c>
      <c r="J66" s="2" t="n">
        <f aca="false">IF($B$10&lt;&gt;1,I66*$B$17+$B$18,$B$3)</f>
        <v>0.858531652713761</v>
      </c>
      <c r="K66" s="2" t="e">
        <f aca="false">IF(VLOOKUP(I66,equil,2,1)&gt;J66,J66,NA())</f>
        <v>#N/A</v>
      </c>
      <c r="AMC66" s="0"/>
      <c r="AMD66" s="0"/>
      <c r="AME66" s="0"/>
      <c r="AMF66" s="0"/>
      <c r="AMG66" s="0"/>
      <c r="AMH66" s="0"/>
      <c r="AMI66" s="0"/>
      <c r="AMJ66" s="0"/>
    </row>
    <row r="67" customFormat="false" ht="12.8" hidden="false" customHeight="false" outlineLevel="0" collapsed="false">
      <c r="A67" s="45" t="n">
        <v>21</v>
      </c>
      <c r="B67" s="50" t="e">
        <f aca="false">C66</f>
        <v>#N/A</v>
      </c>
      <c r="C67" s="51" t="e">
        <f aca="false">IF(D66&gt;$B$5,IF(D66&gt;$B$28,$B$21*D66+$B$22,D66*$B$32+$B$33),NA())</f>
        <v>#N/A</v>
      </c>
      <c r="D67" s="52" t="e">
        <f aca="false">=IF(ISNA(VLOOKUP(C67,equil, 2,0)), INDEX(equil,MATCH(C67,equil_y,1),1)+(C67-INDEX(equil,MATCH(C67,equil_y),2))*(INDEX(equil,MATCH(C67,equil_y,1)+1,1)-INDEX(equil,MATCH(C67,equil_y,1),1))/(INDEX(equil,MATCH(C67,equil_y)+1,2)-INDEX(equil,MATCH(C67,equil_y),2)), VLOOKUP(C67,equil_xcurve, 2,0))</f>
        <v>#N/A</v>
      </c>
      <c r="E67" s="52" t="e">
        <f aca="false">D67</f>
        <v>#N/A</v>
      </c>
      <c r="F67" s="4" t="n">
        <v>0.37</v>
      </c>
      <c r="G67" s="2" t="n">
        <f aca="false">F67/(1-F67)</f>
        <v>0.587301587301587</v>
      </c>
      <c r="H67" s="2" t="n">
        <f aca="false">$B$4/(G67+1)</f>
        <v>0.6048</v>
      </c>
      <c r="I67" s="2" t="n">
        <f aca="false">IF($B$10&lt;&gt;1,(H67-$B$18)/($B$17-F67),$B$3)</f>
        <v>0.676760273810743</v>
      </c>
      <c r="J67" s="2" t="n">
        <f aca="false">IF($B$10&lt;&gt;1,I67*$B$17+$B$18,$B$3)</f>
        <v>0.855201301309975</v>
      </c>
      <c r="K67" s="2" t="e">
        <f aca="false">IF(VLOOKUP(I67,equil,2,1)&gt;J67,J67,NA())</f>
        <v>#N/A</v>
      </c>
      <c r="AMC67" s="0"/>
      <c r="AMD67" s="0"/>
      <c r="AME67" s="0"/>
      <c r="AMF67" s="0"/>
      <c r="AMG67" s="0"/>
      <c r="AMH67" s="0"/>
      <c r="AMI67" s="0"/>
      <c r="AMJ67" s="0"/>
    </row>
    <row r="68" customFormat="false" ht="12.8" hidden="false" customHeight="false" outlineLevel="0" collapsed="false">
      <c r="A68" s="45" t="n">
        <v>22</v>
      </c>
      <c r="B68" s="50" t="e">
        <f aca="false">C67</f>
        <v>#N/A</v>
      </c>
      <c r="C68" s="51" t="e">
        <f aca="false">IF(D67&gt;$B$5,IF(D67&gt;$B$28,$B$21*D67+$B$22,D67*$B$32+$B$33),NA())</f>
        <v>#N/A</v>
      </c>
      <c r="D68" s="52" t="e">
        <f aca="false">=IF(ISNA(VLOOKUP(C68,equil, 2,0)), INDEX(equil,MATCH(C68,equil_y,1),1)+(C68-INDEX(equil,MATCH(C68,equil_y),2))*(INDEX(equil,MATCH(C68,equil_y,1)+1,1)-INDEX(equil,MATCH(C68,equil_y,1),1))/(INDEX(equil,MATCH(C68,equil_y)+1,2)-INDEX(equil,MATCH(C68,equil_y),2)), VLOOKUP(C68,equil_xcurve, 2,0))</f>
        <v>#N/A</v>
      </c>
      <c r="E68" s="52" t="e">
        <f aca="false">D68</f>
        <v>#N/A</v>
      </c>
      <c r="F68" s="4" t="n">
        <v>0.38</v>
      </c>
      <c r="G68" s="2" t="n">
        <f aca="false">F68/(1-F68)</f>
        <v>0.612903225806452</v>
      </c>
      <c r="H68" s="2" t="n">
        <f aca="false">$B$4/(G68+1)</f>
        <v>0.5952</v>
      </c>
      <c r="I68" s="2" t="n">
        <f aca="false">IF($B$10&lt;&gt;1,(H68-$B$18)/($B$17-F68),$B$3)</f>
        <v>0.67536342478983</v>
      </c>
      <c r="J68" s="2" t="n">
        <f aca="false">IF($B$10&lt;&gt;1,I68*$B$17+$B$18,$B$3)</f>
        <v>0.851838101420135</v>
      </c>
      <c r="K68" s="2" t="n">
        <f aca="false">IF(VLOOKUP(I68,equil,2,1)&gt;J68,J68,NA())</f>
        <v>0.851838101420135</v>
      </c>
      <c r="N68" s="0"/>
      <c r="AMC68" s="0"/>
      <c r="AMD68" s="0"/>
      <c r="AME68" s="0"/>
      <c r="AMF68" s="0"/>
      <c r="AMG68" s="0"/>
      <c r="AMH68" s="0"/>
      <c r="AMI68" s="0"/>
      <c r="AMJ68" s="0"/>
    </row>
    <row r="69" customFormat="false" ht="12.8" hidden="false" customHeight="false" outlineLevel="0" collapsed="false">
      <c r="A69" s="45" t="n">
        <v>23</v>
      </c>
      <c r="B69" s="50" t="e">
        <f aca="false">C68</f>
        <v>#N/A</v>
      </c>
      <c r="C69" s="51" t="e">
        <f aca="false">IF(D68&gt;$B$5,IF(D68&gt;$B$28,$B$21*D68+$B$22,D68*$B$32+$B$33),NA())</f>
        <v>#N/A</v>
      </c>
      <c r="D69" s="52" t="e">
        <f aca="false">=IF(ISNA(VLOOKUP(C69,equil, 2,0)), INDEX(equil,MATCH(C69,equil_y,1),1)+(C69-INDEX(equil,MATCH(C69,equil_y),2))*(INDEX(equil,MATCH(C69,equil_y,1)+1,1)-INDEX(equil,MATCH(C69,equil_y,1),1))/(INDEX(equil,MATCH(C69,equil_y)+1,2)-INDEX(equil,MATCH(C69,equil_y),2)), VLOOKUP(C69,equil_xcurve, 2,0))</f>
        <v>#N/A</v>
      </c>
      <c r="E69" s="52" t="e">
        <f aca="false">D69</f>
        <v>#N/A</v>
      </c>
      <c r="F69" s="4" t="n">
        <v>0.39</v>
      </c>
      <c r="G69" s="2" t="n">
        <f aca="false">F69/(1-F69)</f>
        <v>0.639344262295082</v>
      </c>
      <c r="H69" s="2" t="n">
        <f aca="false">$B$4/(G69+1)</f>
        <v>0.5856</v>
      </c>
      <c r="I69" s="2" t="n">
        <f aca="false">IF($B$10&lt;&gt;1,(H69-$B$18)/($B$17-F69),$B$3)</f>
        <v>0.673952729847339</v>
      </c>
      <c r="J69" s="2" t="n">
        <f aca="false">IF($B$10&lt;&gt;1,I69*$B$17+$B$18,$B$3)</f>
        <v>0.848441564640462</v>
      </c>
      <c r="K69" s="2" t="n">
        <f aca="false">IF(VLOOKUP(I69,equil,2,1)&gt;J69,J69,NA())</f>
        <v>0.848441564640462</v>
      </c>
      <c r="AMC69" s="0"/>
      <c r="AMD69" s="0"/>
      <c r="AME69" s="0"/>
      <c r="AMF69" s="0"/>
      <c r="AMG69" s="0"/>
      <c r="AMH69" s="0"/>
      <c r="AMI69" s="0"/>
      <c r="AMJ69" s="0"/>
    </row>
    <row r="70" customFormat="false" ht="12.8" hidden="false" customHeight="false" outlineLevel="0" collapsed="false">
      <c r="A70" s="53" t="n">
        <v>24</v>
      </c>
      <c r="B70" s="54" t="e">
        <f aca="false">C69</f>
        <v>#N/A</v>
      </c>
      <c r="C70" s="51" t="e">
        <f aca="false">IF(D69&gt;$B$5,IF(D69&gt;$B$28,$B$21*D69+$B$22,D69*$B$32+$B$33),NA())</f>
        <v>#N/A</v>
      </c>
      <c r="D70" s="52" t="e">
        <f aca="false">=IF(ISNA(VLOOKUP(C70,equil, 2,0)), INDEX(equil,MATCH(C70,equil_y,1),1)+(C70-INDEX(equil,MATCH(C70,equil_y),2))*(INDEX(equil,MATCH(C70,equil_y,1)+1,1)-INDEX(equil,MATCH(C70,equil_y,1),1))/(INDEX(equil,MATCH(C70,equil_y)+1,2)-INDEX(equil,MATCH(C70,equil_y),2)), VLOOKUP(C70,equil_xcurve, 2,0))</f>
        <v>#N/A</v>
      </c>
      <c r="E70" s="55" t="e">
        <f aca="false">D70</f>
        <v>#N/A</v>
      </c>
      <c r="F70" s="4" t="n">
        <v>0.4</v>
      </c>
      <c r="G70" s="2" t="n">
        <f aca="false">F70/(1-F70)</f>
        <v>0.666666666666667</v>
      </c>
      <c r="H70" s="2" t="n">
        <f aca="false">$B$4/(G70+1)</f>
        <v>0.576</v>
      </c>
      <c r="I70" s="2" t="n">
        <f aca="false">IF($B$10&lt;&gt;1,(H70-$B$18)/($B$17-F70),$B$3)</f>
        <v>0.672527982091461</v>
      </c>
      <c r="J70" s="2" t="n">
        <f aca="false">IF($B$10&lt;&gt;1,I70*$B$17+$B$18,$B$3)</f>
        <v>0.845011192836585</v>
      </c>
      <c r="K70" s="2" t="n">
        <f aca="false">IF(VLOOKUP(I70,equil,2,1)&gt;J70,J70,NA())</f>
        <v>0.845011192836585</v>
      </c>
      <c r="AMC70" s="0"/>
      <c r="AMD70" s="0"/>
      <c r="AME70" s="0"/>
      <c r="AMF70" s="0"/>
      <c r="AMG70" s="0"/>
      <c r="AMH70" s="0"/>
      <c r="AMI70" s="0"/>
      <c r="AMJ70" s="0"/>
    </row>
    <row r="71" customFormat="false" ht="12.8" hidden="false" customHeight="false" outlineLevel="0" collapsed="false">
      <c r="C71" s="56"/>
      <c r="F71" s="4" t="n">
        <v>0.41</v>
      </c>
      <c r="G71" s="2" t="n">
        <f aca="false">F71/(1-F71)</f>
        <v>0.694915254237288</v>
      </c>
      <c r="H71" s="2" t="n">
        <f aca="false">$B$4/(G71+1)</f>
        <v>0.5664</v>
      </c>
      <c r="I71" s="2" t="n">
        <f aca="false">IF($B$10&lt;&gt;1,(H71-$B$18)/($B$17-F71),$B$3)</f>
        <v>0.671088970487799</v>
      </c>
      <c r="J71" s="2" t="n">
        <f aca="false">IF($B$10&lt;&gt;1,I71*$B$17+$B$18,$B$3)</f>
        <v>0.841546477899998</v>
      </c>
      <c r="K71" s="2" t="n">
        <f aca="false">IF(VLOOKUP(I71,equil,2,1)&gt;J71,J71,NA())</f>
        <v>0.841546477899998</v>
      </c>
      <c r="AMC71" s="0"/>
      <c r="AMD71" s="0"/>
      <c r="AME71" s="0"/>
      <c r="AMF71" s="0"/>
      <c r="AMG71" s="0"/>
      <c r="AMH71" s="0"/>
      <c r="AMI71" s="0"/>
      <c r="AMJ71" s="0"/>
    </row>
    <row r="72" customFormat="false" ht="12.8" hidden="false" customHeight="false" outlineLevel="0" collapsed="false">
      <c r="F72" s="4" t="n">
        <v>0.42</v>
      </c>
      <c r="G72" s="2" t="n">
        <f aca="false">F72/(1-F72)</f>
        <v>0.724137931034483</v>
      </c>
      <c r="H72" s="2" t="n">
        <f aca="false">$B$4/(G72+1)</f>
        <v>0.5568</v>
      </c>
      <c r="I72" s="2" t="n">
        <f aca="false">IF($B$10&lt;&gt;1,(H72-$B$18)/($B$17-F72),$B$3)</f>
        <v>0.669635479755156</v>
      </c>
      <c r="J72" s="2" t="n">
        <f aca="false">IF($B$10&lt;&gt;1,I72*$B$17+$B$18,$B$3)</f>
        <v>0.838046901497165</v>
      </c>
      <c r="K72" s="2" t="n">
        <f aca="false">IF(VLOOKUP(I72,equil,2,1)&gt;J72,J72,NA())</f>
        <v>0.838046901497165</v>
      </c>
      <c r="AMC72" s="0"/>
      <c r="AMD72" s="0"/>
      <c r="AME72" s="0"/>
      <c r="AMF72" s="0"/>
      <c r="AMG72" s="0"/>
      <c r="AMH72" s="0"/>
      <c r="AMI72" s="0"/>
      <c r="AMJ72" s="0"/>
    </row>
    <row r="73" customFormat="false" ht="12.8" hidden="false" customHeight="false" outlineLevel="0" collapsed="false">
      <c r="F73" s="4" t="n">
        <v>0.43</v>
      </c>
      <c r="G73" s="2" t="n">
        <f aca="false">F73/(1-F73)</f>
        <v>0.754385964912281</v>
      </c>
      <c r="H73" s="2" t="n">
        <f aca="false">$B$4/(G73+1)</f>
        <v>0.5472</v>
      </c>
      <c r="I73" s="2" t="n">
        <f aca="false">IF($B$10&lt;&gt;1,(H73-$B$18)/($B$17-F73),$B$3)</f>
        <v>0.668167290258175</v>
      </c>
      <c r="J73" s="2" t="n">
        <f aca="false">IF($B$10&lt;&gt;1,I73*$B$17+$B$18,$B$3)</f>
        <v>0.834511934811015</v>
      </c>
      <c r="K73" s="2" t="n">
        <f aca="false">IF(VLOOKUP(I73,equil,2,1)&gt;J73,J73,NA())</f>
        <v>0.834511934811015</v>
      </c>
      <c r="AMC73" s="0"/>
      <c r="AMD73" s="0"/>
      <c r="AME73" s="0"/>
      <c r="AMF73" s="0"/>
      <c r="AMG73" s="0"/>
      <c r="AMH73" s="0"/>
      <c r="AMI73" s="0"/>
      <c r="AMJ73" s="0"/>
    </row>
    <row r="74" customFormat="false" ht="12.8" hidden="false" customHeight="false" outlineLevel="0" collapsed="false">
      <c r="F74" s="4" t="n">
        <v>0.44</v>
      </c>
      <c r="G74" s="2" t="n">
        <f aca="false">F74/(1-F74)</f>
        <v>0.785714285714286</v>
      </c>
      <c r="H74" s="2" t="n">
        <f aca="false">$B$4/(G74+1)</f>
        <v>0.5376</v>
      </c>
      <c r="I74" s="2" t="n">
        <f aca="false">IF($B$10&lt;&gt;1,(H74-$B$18)/($B$17-F74),$B$3)</f>
        <v>0.666684177896695</v>
      </c>
      <c r="J74" s="2" t="n">
        <f aca="false">IF($B$10&lt;&gt;1,I74*$B$17+$B$18,$B$3)</f>
        <v>0.830941038274545</v>
      </c>
      <c r="K74" s="2" t="n">
        <f aca="false">IF(VLOOKUP(I74,equil,2,1)&gt;J74,J74,NA())</f>
        <v>0.830941038274545</v>
      </c>
      <c r="AMC74" s="0"/>
      <c r="AMD74" s="0"/>
      <c r="AME74" s="0"/>
      <c r="AMF74" s="0"/>
      <c r="AMG74" s="0"/>
      <c r="AMH74" s="0"/>
      <c r="AMI74" s="0"/>
      <c r="AMJ74" s="0"/>
    </row>
    <row r="75" customFormat="false" ht="12.8" hidden="false" customHeight="false" outlineLevel="0" collapsed="false">
      <c r="F75" s="4" t="n">
        <v>0.45</v>
      </c>
      <c r="G75" s="2" t="n">
        <f aca="false">F75/(1-F75)</f>
        <v>0.818181818181818</v>
      </c>
      <c r="H75" s="2" t="n">
        <f aca="false">$B$4/(G75+1)</f>
        <v>0.528</v>
      </c>
      <c r="I75" s="2" t="n">
        <f aca="false">IF($B$10&lt;&gt;1,(H75-$B$18)/($B$17-F75),$B$3)</f>
        <v>0.665185913991719</v>
      </c>
      <c r="J75" s="2" t="n">
        <f aca="false">IF($B$10&lt;&gt;1,I75*$B$17+$B$18,$B$3)</f>
        <v>0.827333661296273</v>
      </c>
      <c r="K75" s="2" t="n">
        <f aca="false">IF(VLOOKUP(I75,equil,2,1)&gt;J75,J75,NA())</f>
        <v>0.827333661296273</v>
      </c>
      <c r="AMC75" s="0"/>
      <c r="AMD75" s="0"/>
      <c r="AME75" s="0"/>
      <c r="AMF75" s="0"/>
      <c r="AMG75" s="0"/>
      <c r="AMH75" s="0"/>
      <c r="AMI75" s="0"/>
      <c r="AMJ75" s="0"/>
    </row>
    <row r="76" customFormat="false" ht="12.8" hidden="false" customHeight="false" outlineLevel="0" collapsed="false">
      <c r="F76" s="4" t="n">
        <v>0.46</v>
      </c>
      <c r="G76" s="2" t="n">
        <f aca="false">F76/(1-F76)</f>
        <v>0.851851851851852</v>
      </c>
      <c r="H76" s="2" t="n">
        <f aca="false">$B$4/(G76+1)</f>
        <v>0.5184</v>
      </c>
      <c r="I76" s="2" t="n">
        <f aca="false">IF($B$10&lt;&gt;1,(H76-$B$18)/($B$17-F76),$B$3)</f>
        <v>0.663672265167873</v>
      </c>
      <c r="J76" s="2" t="n">
        <f aca="false">IF($B$10&lt;&gt;1,I76*$B$17+$B$18,$B$3)</f>
        <v>0.823689241977221</v>
      </c>
      <c r="K76" s="2" t="n">
        <f aca="false">IF(VLOOKUP(I76,equil,2,1)&gt;J76,J76,NA())</f>
        <v>0.823689241977221</v>
      </c>
      <c r="AMC76" s="0"/>
      <c r="AMD76" s="0"/>
      <c r="AME76" s="0"/>
      <c r="AMF76" s="0"/>
      <c r="AMG76" s="0"/>
      <c r="AMH76" s="0"/>
      <c r="AMI76" s="0"/>
      <c r="AMJ76" s="0"/>
    </row>
    <row r="77" customFormat="false" ht="12.8" hidden="false" customHeight="false" outlineLevel="0" collapsed="false">
      <c r="F77" s="4" t="n">
        <v>0.47</v>
      </c>
      <c r="G77" s="2" t="n">
        <f aca="false">F77/(1-F77)</f>
        <v>0.886792452830189</v>
      </c>
      <c r="H77" s="2" t="n">
        <f aca="false">$B$4/(G77+1)</f>
        <v>0.5088</v>
      </c>
      <c r="I77" s="2" t="n">
        <f aca="false">IF($B$10&lt;&gt;1,(H77-$B$18)/($B$17-F77),$B$3)</f>
        <v>0.662142993232217</v>
      </c>
      <c r="J77" s="2" t="n">
        <f aca="false">IF($B$10&lt;&gt;1,I77*$B$17+$B$18,$B$3)</f>
        <v>0.820007206819142</v>
      </c>
      <c r="K77" s="2" t="n">
        <f aca="false">IF(VLOOKUP(I77,equil,2,1)&gt;J77,J77,NA())</f>
        <v>0.820007206819142</v>
      </c>
      <c r="AMC77" s="0"/>
      <c r="AMD77" s="0"/>
      <c r="AME77" s="0"/>
      <c r="AMF77" s="0"/>
      <c r="AMG77" s="0"/>
      <c r="AMH77" s="0"/>
      <c r="AMI77" s="0"/>
      <c r="AMJ77" s="0"/>
    </row>
    <row r="78" customFormat="false" ht="12.8" hidden="false" customHeight="false" outlineLevel="0" collapsed="false">
      <c r="F78" s="4" t="n">
        <v>0.48</v>
      </c>
      <c r="G78" s="2" t="n">
        <f aca="false">F78/(1-F78)</f>
        <v>0.923076923076923</v>
      </c>
      <c r="H78" s="2" t="n">
        <f aca="false">$B$4/(G78+1)</f>
        <v>0.4992</v>
      </c>
      <c r="I78" s="2" t="n">
        <f aca="false">IF($B$10&lt;&gt;1,(H78-$B$18)/($B$17-F78),$B$3)</f>
        <v>0.660597855049294</v>
      </c>
      <c r="J78" s="2" t="n">
        <f aca="false">IF($B$10&lt;&gt;1,I78*$B$17+$B$18,$B$3)</f>
        <v>0.816286970423661</v>
      </c>
      <c r="K78" s="2" t="n">
        <f aca="false">IF(VLOOKUP(I78,equil,2,1)&gt;J78,J78,NA())</f>
        <v>0.816286970423661</v>
      </c>
      <c r="AMC78" s="0"/>
      <c r="AMD78" s="0"/>
      <c r="AME78" s="0"/>
      <c r="AMF78" s="0"/>
      <c r="AMG78" s="0"/>
      <c r="AMH78" s="0"/>
      <c r="AMI78" s="0"/>
      <c r="AMJ78" s="0"/>
    </row>
    <row r="79" customFormat="false" ht="12.8" hidden="false" customHeight="false" outlineLevel="0" collapsed="false">
      <c r="F79" s="4" t="n">
        <v>0.49</v>
      </c>
      <c r="G79" s="2" t="n">
        <f aca="false">F79/(1-F79)</f>
        <v>0.96078431372549</v>
      </c>
      <c r="H79" s="2" t="n">
        <f aca="false">$B$4/(G79+1)</f>
        <v>0.4896</v>
      </c>
      <c r="I79" s="2" t="n">
        <f aca="false">IF($B$10&lt;&gt;1,(H79-$B$18)/($B$17-F79),$B$3)</f>
        <v>0.659036602412261</v>
      </c>
      <c r="J79" s="2" t="n">
        <f aca="false">IF($B$10&lt;&gt;1,I79*$B$17+$B$18,$B$3)</f>
        <v>0.812527935182008</v>
      </c>
      <c r="K79" s="2" t="n">
        <f aca="false">IF(VLOOKUP(I79,equil,2,1)&gt;J79,J79,NA())</f>
        <v>0.812527935182008</v>
      </c>
      <c r="AMC79" s="0"/>
      <c r="AMD79" s="0"/>
      <c r="AME79" s="0"/>
      <c r="AMF79" s="0"/>
      <c r="AMG79" s="0"/>
      <c r="AMH79" s="0"/>
      <c r="AMI79" s="0"/>
      <c r="AMJ79" s="0"/>
    </row>
    <row r="80" customFormat="false" ht="12.8" hidden="false" customHeight="false" outlineLevel="0" collapsed="false">
      <c r="F80" s="4" t="n">
        <v>0.5</v>
      </c>
      <c r="G80" s="2" t="n">
        <f aca="false">F80/(1-F80)</f>
        <v>1</v>
      </c>
      <c r="H80" s="2" t="n">
        <f aca="false">$B$4/(G80+1)</f>
        <v>0.48</v>
      </c>
      <c r="I80" s="2" t="n">
        <f aca="false">IF($B$10&lt;&gt;1,(H80-$B$18)/($B$17-F80),$B$3)</f>
        <v>0.657458981909971</v>
      </c>
      <c r="J80" s="2" t="n">
        <f aca="false">IF($B$10&lt;&gt;1,I80*$B$17+$B$18,$B$3)</f>
        <v>0.808729490954985</v>
      </c>
      <c r="K80" s="2" t="n">
        <f aca="false">IF(VLOOKUP(I80,equil,2,1)&gt;J80,J80,NA())</f>
        <v>0.808729490954985</v>
      </c>
      <c r="AMC80" s="0"/>
      <c r="AMD80" s="0"/>
      <c r="AME80" s="0"/>
      <c r="AMF80" s="0"/>
      <c r="AMG80" s="0"/>
      <c r="AMH80" s="0"/>
      <c r="AMI80" s="0"/>
      <c r="AMJ80" s="0"/>
    </row>
    <row r="81" customFormat="false" ht="12.8" hidden="false" customHeight="false" outlineLevel="0" collapsed="false">
      <c r="F81" s="4" t="n">
        <v>0.51</v>
      </c>
      <c r="G81" s="2" t="n">
        <f aca="false">F81/(1-F81)</f>
        <v>1.04081632653061</v>
      </c>
      <c r="H81" s="2" t="n">
        <f aca="false">$B$4/(G81+1)</f>
        <v>0.4704</v>
      </c>
      <c r="I81" s="2" t="n">
        <f aca="false">IF($B$10&lt;&gt;1,(H81-$B$18)/($B$17-F81),$B$3)</f>
        <v>0.655864734789853</v>
      </c>
      <c r="J81" s="2" t="n">
        <f aca="false">IF($B$10&lt;&gt;1,I81*$B$17+$B$18,$B$3)</f>
        <v>0.804891014742825</v>
      </c>
      <c r="K81" s="2" t="n">
        <f aca="false">IF(VLOOKUP(I81,equil,2,1)&gt;J81,J81,NA())</f>
        <v>0.804891014742825</v>
      </c>
      <c r="AMC81" s="0"/>
      <c r="AMD81" s="0"/>
      <c r="AME81" s="0"/>
      <c r="AMF81" s="0"/>
      <c r="AMG81" s="0"/>
      <c r="AMH81" s="0"/>
      <c r="AMI81" s="0"/>
      <c r="AMJ81" s="0"/>
    </row>
    <row r="82" customFormat="false" ht="12.8" hidden="false" customHeight="false" outlineLevel="0" collapsed="false">
      <c r="F82" s="4" t="n">
        <v>0.52</v>
      </c>
      <c r="G82" s="2" t="n">
        <f aca="false">F82/(1-F82)</f>
        <v>1.08333333333333</v>
      </c>
      <c r="H82" s="2" t="n">
        <f aca="false">$B$4/(G82+1)</f>
        <v>0.4608</v>
      </c>
      <c r="I82" s="2" t="n">
        <f aca="false">IF($B$10&lt;&gt;1,(H82-$B$18)/($B$17-F82),$B$3)</f>
        <v>0.654253596816435</v>
      </c>
      <c r="J82" s="2" t="n">
        <f aca="false">IF($B$10&lt;&gt;1,I82*$B$17+$B$18,$B$3)</f>
        <v>0.801011870344546</v>
      </c>
      <c r="K82" s="2" t="n">
        <f aca="false">IF(VLOOKUP(I82,equil,2,1)&gt;J82,J82,NA())</f>
        <v>0.801011870344546</v>
      </c>
      <c r="AMC82" s="0"/>
      <c r="AMD82" s="0"/>
      <c r="AME82" s="0"/>
      <c r="AMF82" s="0"/>
      <c r="AMG82" s="0"/>
      <c r="AMH82" s="0"/>
      <c r="AMI82" s="0"/>
      <c r="AMJ82" s="0"/>
    </row>
    <row r="83" customFormat="false" ht="12.8" hidden="false" customHeight="false" outlineLevel="0" collapsed="false">
      <c r="F83" s="4" t="n">
        <v>0.53</v>
      </c>
      <c r="G83" s="2" t="n">
        <f aca="false">F83/(1-F83)</f>
        <v>1.12765957446809</v>
      </c>
      <c r="H83" s="2" t="n">
        <f aca="false">$B$4/(G83+1)</f>
        <v>0.4512</v>
      </c>
      <c r="I83" s="2" t="n">
        <f aca="false">IF($B$10&lt;&gt;1,(H83-$B$18)/($B$17-F83),$B$3)</f>
        <v>0.652625298125337</v>
      </c>
      <c r="J83" s="2" t="n">
        <f aca="false">IF($B$10&lt;&gt;1,I83*$B$17+$B$18,$B$3)</f>
        <v>0.797091408006428</v>
      </c>
      <c r="K83" s="2" t="n">
        <f aca="false">IF(VLOOKUP(I83,equil,2,1)&gt;J83,J83,NA())</f>
        <v>0.797091408006428</v>
      </c>
      <c r="AMC83" s="0"/>
      <c r="AMD83" s="0"/>
      <c r="AME83" s="0"/>
      <c r="AMF83" s="0"/>
      <c r="AMG83" s="0"/>
      <c r="AMH83" s="0"/>
      <c r="AMI83" s="0"/>
      <c r="AMJ83" s="0"/>
    </row>
    <row r="84" customFormat="false" ht="12.8" hidden="false" customHeight="false" outlineLevel="0" collapsed="false">
      <c r="F84" s="4" t="n">
        <v>0.54</v>
      </c>
      <c r="G84" s="2" t="n">
        <f aca="false">F84/(1-F84)</f>
        <v>1.17391304347826</v>
      </c>
      <c r="H84" s="2" t="n">
        <f aca="false">$B$4/(G84+1)</f>
        <v>0.4416</v>
      </c>
      <c r="I84" s="2" t="n">
        <f aca="false">IF($B$10&lt;&gt;1,(H84-$B$18)/($B$17-F84),$B$3)</f>
        <v>0.650979563072586</v>
      </c>
      <c r="J84" s="2" t="n">
        <f aca="false">IF($B$10&lt;&gt;1,I84*$B$17+$B$18,$B$3)</f>
        <v>0.793128964059197</v>
      </c>
      <c r="K84" s="2" t="n">
        <f aca="false">IF(VLOOKUP(I84,equil,2,1)&gt;J84,J84,NA())</f>
        <v>0.793128964059197</v>
      </c>
      <c r="AMC84" s="0"/>
      <c r="AMD84" s="0"/>
      <c r="AME84" s="0"/>
      <c r="AMF84" s="0"/>
      <c r="AMG84" s="0"/>
      <c r="AMH84" s="0"/>
      <c r="AMI84" s="0"/>
      <c r="AMJ84" s="0"/>
    </row>
    <row r="85" customFormat="false" ht="12.8" hidden="false" customHeight="false" outlineLevel="0" collapsed="false">
      <c r="F85" s="4" t="n">
        <v>0.55</v>
      </c>
      <c r="G85" s="2" t="n">
        <f aca="false">F85/(1-F85)</f>
        <v>1.22222222222222</v>
      </c>
      <c r="H85" s="2" t="n">
        <f aca="false">$B$4/(G85+1)</f>
        <v>0.432</v>
      </c>
      <c r="I85" s="2" t="n">
        <f aca="false">IF($B$10&lt;&gt;1,(H85-$B$18)/($B$17-F85),$B$3)</f>
        <v>0.64931611007906</v>
      </c>
      <c r="J85" s="2" t="n">
        <f aca="false">IF($B$10&lt;&gt;1,I85*$B$17+$B$18,$B$3)</f>
        <v>0.789123860543483</v>
      </c>
      <c r="K85" s="2" t="n">
        <f aca="false">IF(VLOOKUP(I85,equil,2,1)&gt;J85,J85,NA())</f>
        <v>0.789123860543483</v>
      </c>
      <c r="AMC85" s="0"/>
      <c r="AMD85" s="0"/>
      <c r="AME85" s="0"/>
      <c r="AMF85" s="0"/>
      <c r="AMG85" s="0"/>
      <c r="AMH85" s="0"/>
      <c r="AMI85" s="0"/>
      <c r="AMJ85" s="0"/>
    </row>
    <row r="86" customFormat="false" ht="12.8" hidden="false" customHeight="false" outlineLevel="0" collapsed="false">
      <c r="F86" s="4" t="n">
        <v>0.56</v>
      </c>
      <c r="G86" s="2" t="n">
        <f aca="false">F86/(1-F86)</f>
        <v>1.27272727272727</v>
      </c>
      <c r="H86" s="2" t="n">
        <f aca="false">$B$4/(G86+1)</f>
        <v>0.4224</v>
      </c>
      <c r="I86" s="2" t="n">
        <f aca="false">IF($B$10&lt;&gt;1,(H86-$B$18)/($B$17-F86),$B$3)</f>
        <v>0.647634651469873</v>
      </c>
      <c r="J86" s="2" t="n">
        <f aca="false">IF($B$10&lt;&gt;1,I86*$B$17+$B$18,$B$3)</f>
        <v>0.785075404823129</v>
      </c>
      <c r="K86" s="2" t="n">
        <f aca="false">IF(VLOOKUP(I86,equil,2,1)&gt;J86,J86,NA())</f>
        <v>0.785075404823129</v>
      </c>
      <c r="AMC86" s="0"/>
      <c r="AMD86" s="0"/>
      <c r="AME86" s="0"/>
      <c r="AMF86" s="0"/>
      <c r="AMG86" s="0"/>
      <c r="AMH86" s="0"/>
      <c r="AMI86" s="0"/>
      <c r="AMJ86" s="0"/>
    </row>
    <row r="87" customFormat="false" ht="12.8" hidden="false" customHeight="false" outlineLevel="0" collapsed="false">
      <c r="F87" s="4" t="n">
        <v>0.57</v>
      </c>
      <c r="G87" s="2" t="n">
        <f aca="false">F87/(1-F87)</f>
        <v>1.32558139534884</v>
      </c>
      <c r="H87" s="2" t="n">
        <f aca="false">$B$4/(G87+1)</f>
        <v>0.4128</v>
      </c>
      <c r="I87" s="2" t="n">
        <f aca="false">IF($B$10&lt;&gt;1,(H87-$B$18)/($B$17-F87),$B$3)</f>
        <v>0.645934893308527</v>
      </c>
      <c r="J87" s="2" t="n">
        <f aca="false">IF($B$10&lt;&gt;1,I87*$B$17+$B$18,$B$3)</f>
        <v>0.78098288918586</v>
      </c>
      <c r="K87" s="2" t="n">
        <f aca="false">IF(VLOOKUP(I87,equil,2,1)&gt;J87,J87,NA())</f>
        <v>0.78098288918586</v>
      </c>
      <c r="AMC87" s="0"/>
      <c r="AMD87" s="0"/>
      <c r="AME87" s="0"/>
      <c r="AMF87" s="0"/>
      <c r="AMG87" s="0"/>
      <c r="AMH87" s="0"/>
      <c r="AMI87" s="0"/>
      <c r="AMJ87" s="0"/>
    </row>
    <row r="88" customFormat="false" ht="12.8" hidden="false" customHeight="false" outlineLevel="0" collapsed="false">
      <c r="F88" s="4" t="n">
        <v>0.58</v>
      </c>
      <c r="G88" s="2" t="n">
        <f aca="false">F88/(1-F88)</f>
        <v>1.38095238095238</v>
      </c>
      <c r="H88" s="2" t="n">
        <f aca="false">$B$4/(G88+1)</f>
        <v>0.4032</v>
      </c>
      <c r="I88" s="2" t="n">
        <f aca="false">IF($B$10&lt;&gt;1,(H88-$B$18)/($B$17-F88),$B$3)</f>
        <v>0.644216535225616</v>
      </c>
      <c r="J88" s="2" t="n">
        <f aca="false">IF($B$10&lt;&gt;1,I88*$B$17+$B$18,$B$3)</f>
        <v>0.776845590430857</v>
      </c>
      <c r="K88" s="2" t="n">
        <f aca="false">IF(VLOOKUP(I88,equil,2,1)&gt;J88,J88,NA())</f>
        <v>0.776845590430857</v>
      </c>
      <c r="AMC88" s="0"/>
      <c r="AMD88" s="0"/>
      <c r="AME88" s="0"/>
      <c r="AMF88" s="0"/>
      <c r="AMG88" s="0"/>
      <c r="AMH88" s="0"/>
      <c r="AMI88" s="0"/>
      <c r="AMJ88" s="0"/>
    </row>
    <row r="89" customFormat="false" ht="12.8" hidden="false" customHeight="false" outlineLevel="0" collapsed="false">
      <c r="F89" s="4" t="n">
        <v>0.59</v>
      </c>
      <c r="G89" s="2" t="n">
        <f aca="false">F89/(1-F89)</f>
        <v>1.4390243902439</v>
      </c>
      <c r="H89" s="2" t="n">
        <f aca="false">$B$4/(G89+1)</f>
        <v>0.3936</v>
      </c>
      <c r="I89" s="2" t="n">
        <f aca="false">IF($B$10&lt;&gt;1,(H89-$B$18)/($B$17-F89),$B$3)</f>
        <v>0.642479270241869</v>
      </c>
      <c r="J89" s="2" t="n">
        <f aca="false">IF($B$10&lt;&gt;1,I89*$B$17+$B$18,$B$3)</f>
        <v>0.772662769442703</v>
      </c>
      <c r="K89" s="2" t="n">
        <f aca="false">IF(VLOOKUP(I89,equil,2,1)&gt;J89,J89,NA())</f>
        <v>0.772662769442703</v>
      </c>
      <c r="AMC89" s="0"/>
      <c r="AMD89" s="0"/>
      <c r="AME89" s="0"/>
      <c r="AMF89" s="0"/>
      <c r="AMG89" s="0"/>
      <c r="AMH89" s="0"/>
      <c r="AMI89" s="0"/>
      <c r="AMJ89" s="0"/>
    </row>
    <row r="90" customFormat="false" ht="12.8" hidden="false" customHeight="false" outlineLevel="0" collapsed="false">
      <c r="F90" s="4" t="n">
        <v>0.6</v>
      </c>
      <c r="G90" s="2" t="n">
        <f aca="false">F90/(1-F90)</f>
        <v>1.5</v>
      </c>
      <c r="H90" s="2" t="n">
        <f aca="false">$B$4/(G90+1)</f>
        <v>0.384</v>
      </c>
      <c r="I90" s="2" t="n">
        <f aca="false">IF($B$10&lt;&gt;1,(H90-$B$18)/($B$17-F90),$B$3)</f>
        <v>0.640722784585331</v>
      </c>
      <c r="J90" s="2" t="n">
        <f aca="false">IF($B$10&lt;&gt;1,I90*$B$17+$B$18,$B$3)</f>
        <v>0.768433670751199</v>
      </c>
      <c r="K90" s="2" t="n">
        <f aca="false">IF(VLOOKUP(I90,equil,2,1)&gt;J90,J90,NA())</f>
        <v>0.768433670751199</v>
      </c>
      <c r="AMC90" s="0"/>
      <c r="AMD90" s="0"/>
      <c r="AME90" s="0"/>
      <c r="AMF90" s="0"/>
      <c r="AMG90" s="0"/>
      <c r="AMH90" s="0"/>
      <c r="AMI90" s="0"/>
      <c r="AMJ90" s="0"/>
    </row>
    <row r="91" customFormat="false" ht="12.8" hidden="false" customHeight="false" outlineLevel="0" collapsed="false">
      <c r="F91" s="4" t="n">
        <v>0.61</v>
      </c>
      <c r="G91" s="2" t="n">
        <f aca="false">F91/(1-F91)</f>
        <v>1.56410256410256</v>
      </c>
      <c r="H91" s="2" t="n">
        <f aca="false">$B$4/(G91+1)</f>
        <v>0.3744</v>
      </c>
      <c r="I91" s="2" t="n">
        <f aca="false">IF($B$10&lt;&gt;1,(H91-$B$18)/($B$17-F91),$B$3)</f>
        <v>0.638946757502433</v>
      </c>
      <c r="J91" s="2" t="n">
        <f aca="false">IF($B$10&lt;&gt;1,I91*$B$17+$B$18,$B$3)</f>
        <v>0.764157522076484</v>
      </c>
      <c r="K91" s="2" t="n">
        <f aca="false">IF(VLOOKUP(I91,equil,2,1)&gt;J91,J91,NA())</f>
        <v>0.764157522076484</v>
      </c>
      <c r="AMC91" s="0"/>
      <c r="AMD91" s="0"/>
      <c r="AME91" s="0"/>
      <c r="AMF91" s="0"/>
      <c r="AMG91" s="0"/>
      <c r="AMH91" s="0"/>
      <c r="AMI91" s="0"/>
      <c r="AMJ91" s="0"/>
    </row>
    <row r="92" customFormat="false" ht="12.8" hidden="false" customHeight="false" outlineLevel="0" collapsed="false">
      <c r="F92" s="4" t="n">
        <v>0.62</v>
      </c>
      <c r="G92" s="2" t="n">
        <f aca="false">F92/(1-F92)</f>
        <v>1.63157894736842</v>
      </c>
      <c r="H92" s="2" t="n">
        <f aca="false">$B$4/(G92+1)</f>
        <v>0.3648</v>
      </c>
      <c r="I92" s="2" t="n">
        <f aca="false">IF($B$10&lt;&gt;1,(H92-$B$18)/($B$17-F92),$B$3)</f>
        <v>0.637150861062726</v>
      </c>
      <c r="J92" s="2" t="n">
        <f aca="false">IF($B$10&lt;&gt;1,I92*$B$17+$B$18,$B$3)</f>
        <v>0.75983353385889</v>
      </c>
      <c r="K92" s="2" t="n">
        <f aca="false">IF(VLOOKUP(I92,equil,2,1)&gt;J92,J92,NA())</f>
        <v>0.75983353385889</v>
      </c>
      <c r="AMC92" s="0"/>
      <c r="AMD92" s="0"/>
      <c r="AME92" s="0"/>
      <c r="AMF92" s="0"/>
      <c r="AMG92" s="0"/>
      <c r="AMH92" s="0"/>
      <c r="AMI92" s="0"/>
      <c r="AMJ92" s="0"/>
    </row>
    <row r="93" customFormat="false" ht="12.8" hidden="false" customHeight="false" outlineLevel="0" collapsed="false">
      <c r="F93" s="4" t="n">
        <v>0.63</v>
      </c>
      <c r="G93" s="2" t="n">
        <f aca="false">F93/(1-F93)</f>
        <v>1.7027027027027</v>
      </c>
      <c r="H93" s="2" t="n">
        <f aca="false">$B$4/(G93+1)</f>
        <v>0.3552</v>
      </c>
      <c r="I93" s="2" t="n">
        <f aca="false">IF($B$10&lt;&gt;1,(H93-$B$18)/($B$17-F93),$B$3)</f>
        <v>0.635334759957021</v>
      </c>
      <c r="J93" s="2" t="n">
        <f aca="false">IF($B$10&lt;&gt;1,I93*$B$17+$B$18,$B$3)</f>
        <v>0.755460898772923</v>
      </c>
      <c r="K93" s="2" t="n">
        <f aca="false">IF(VLOOKUP(I93,equil,2,1)&gt;J93,J93,NA())</f>
        <v>0.755460898772923</v>
      </c>
      <c r="AMC93" s="0"/>
      <c r="AMD93" s="0"/>
      <c r="AME93" s="0"/>
      <c r="AMF93" s="0"/>
      <c r="AMG93" s="0"/>
      <c r="AMH93" s="0"/>
      <c r="AMI93" s="0"/>
      <c r="AMJ93" s="0"/>
    </row>
    <row r="94" customFormat="false" ht="12.8" hidden="false" customHeight="false" outlineLevel="0" collapsed="false">
      <c r="F94" s="4" t="n">
        <v>0.64</v>
      </c>
      <c r="G94" s="2" t="n">
        <f aca="false">F94/(1-F94)</f>
        <v>1.77777777777778</v>
      </c>
      <c r="H94" s="2" t="n">
        <f aca="false">$B$4/(G94+1)</f>
        <v>0.3456</v>
      </c>
      <c r="I94" s="2" t="n">
        <f aca="false">IF($B$10&lt;&gt;1,(H94-$B$18)/($B$17-F94),$B$3)</f>
        <v>0.633498111288682</v>
      </c>
      <c r="J94" s="2" t="n">
        <f aca="false">IF($B$10&lt;&gt;1,I94*$B$17+$B$18,$B$3)</f>
        <v>0.751038791224757</v>
      </c>
      <c r="K94" s="2" t="n">
        <f aca="false">IF(VLOOKUP(I94,equil,2,1)&gt;J94,J94,NA())</f>
        <v>0.751038791224757</v>
      </c>
      <c r="AMC94" s="0"/>
      <c r="AMD94" s="0"/>
      <c r="AME94" s="0"/>
      <c r="AMF94" s="0"/>
      <c r="AMG94" s="0"/>
      <c r="AMH94" s="0"/>
      <c r="AMI94" s="0"/>
      <c r="AMJ94" s="0"/>
    </row>
    <row r="95" customFormat="false" ht="12.8" hidden="false" customHeight="false" outlineLevel="0" collapsed="false">
      <c r="F95" s="4" t="n">
        <v>0.65</v>
      </c>
      <c r="G95" s="2" t="n">
        <f aca="false">F95/(1-F95)</f>
        <v>1.85714285714286</v>
      </c>
      <c r="H95" s="2" t="n">
        <f aca="false">$B$4/(G95+1)</f>
        <v>0.336</v>
      </c>
      <c r="I95" s="2" t="n">
        <f aca="false">IF($B$10&lt;&gt;1,(H95-$B$18)/($B$17-F95),$B$3)</f>
        <v>0.631640564357792</v>
      </c>
      <c r="J95" s="2" t="n">
        <f aca="false">IF($B$10&lt;&gt;1,I95*$B$17+$B$18,$B$3)</f>
        <v>0.746566366832565</v>
      </c>
      <c r="K95" s="2" t="n">
        <f aca="false">IF(VLOOKUP(I95,equil,2,1)&gt;J95,J95,NA())</f>
        <v>0.746566366832565</v>
      </c>
      <c r="AMC95" s="0"/>
      <c r="AMD95" s="0"/>
      <c r="AME95" s="0"/>
      <c r="AMF95" s="0"/>
      <c r="AMG95" s="0"/>
      <c r="AMH95" s="0"/>
      <c r="AMI95" s="0"/>
      <c r="AMJ95" s="0"/>
    </row>
    <row r="96" customFormat="false" ht="12.8" hidden="false" customHeight="false" outlineLevel="0" collapsed="false">
      <c r="F96" s="4" t="n">
        <v>0.66</v>
      </c>
      <c r="G96" s="2" t="n">
        <f aca="false">F96/(1-F96)</f>
        <v>1.94117647058824</v>
      </c>
      <c r="H96" s="2" t="n">
        <f aca="false">$B$4/(G96+1)</f>
        <v>0.3264</v>
      </c>
      <c r="I96" s="2" t="n">
        <f aca="false">IF($B$10&lt;&gt;1,(H96-$B$18)/($B$17-F96),$B$3)</f>
        <v>0.629761760437905</v>
      </c>
      <c r="J96" s="2" t="n">
        <f aca="false">IF($B$10&lt;&gt;1,I96*$B$17+$B$18,$B$3)</f>
        <v>0.742042761889018</v>
      </c>
      <c r="K96" s="2" t="n">
        <f aca="false">IF(VLOOKUP(I96,equil,2,1)&gt;J96,J96,NA())</f>
        <v>0.742042761889018</v>
      </c>
      <c r="AMC96" s="0"/>
      <c r="AMD96" s="0"/>
      <c r="AME96" s="0"/>
      <c r="AMF96" s="0"/>
      <c r="AMG96" s="0"/>
      <c r="AMH96" s="0"/>
      <c r="AMI96" s="0"/>
      <c r="AMJ96" s="0"/>
    </row>
    <row r="97" customFormat="false" ht="12.8" hidden="false" customHeight="false" outlineLevel="0" collapsed="false">
      <c r="F97" s="4" t="n">
        <v>0.67</v>
      </c>
      <c r="G97" s="2" t="n">
        <f aca="false">F97/(1-F97)</f>
        <v>2.03030303030303</v>
      </c>
      <c r="H97" s="2" t="n">
        <f aca="false">$B$4/(G97+1)</f>
        <v>0.3168</v>
      </c>
      <c r="I97" s="2" t="n">
        <f aca="false">IF($B$10&lt;&gt;1,(H97-$B$18)/($B$17-F97),$B$3)</f>
        <v>0.6278613325451</v>
      </c>
      <c r="J97" s="2" t="n">
        <f aca="false">IF($B$10&lt;&gt;1,I97*$B$17+$B$18,$B$3)</f>
        <v>0.737467092805217</v>
      </c>
      <c r="K97" s="2" t="n">
        <f aca="false">IF(VLOOKUP(I97,equil,2,1)&gt;J97,J97,NA())</f>
        <v>0.737467092805217</v>
      </c>
      <c r="AMC97" s="0"/>
      <c r="AMD97" s="0"/>
      <c r="AME97" s="0"/>
      <c r="AMF97" s="0"/>
      <c r="AMG97" s="0"/>
      <c r="AMH97" s="0"/>
      <c r="AMI97" s="0"/>
      <c r="AMJ97" s="0"/>
    </row>
    <row r="98" customFormat="false" ht="12.8" hidden="false" customHeight="false" outlineLevel="0" collapsed="false">
      <c r="F98" s="4" t="n">
        <v>0.68</v>
      </c>
      <c r="G98" s="2" t="n">
        <f aca="false">F98/(1-F98)</f>
        <v>2.125</v>
      </c>
      <c r="H98" s="2" t="n">
        <f aca="false">$B$4/(G98+1)</f>
        <v>0.3072</v>
      </c>
      <c r="I98" s="2" t="n">
        <f aca="false">IF($B$10&lt;&gt;1,(H98-$B$18)/($B$17-F98),$B$3)</f>
        <v>0.625938905199004</v>
      </c>
      <c r="J98" s="2" t="n">
        <f aca="false">IF($B$10&lt;&gt;1,I98*$B$17+$B$18,$B$3)</f>
        <v>0.732838455535323</v>
      </c>
      <c r="K98" s="2" t="n">
        <f aca="false">IF(VLOOKUP(I98,equil,2,1)&gt;J98,J98,NA())</f>
        <v>0.732838455535323</v>
      </c>
      <c r="AMC98" s="0"/>
      <c r="AMD98" s="0"/>
      <c r="AME98" s="0"/>
      <c r="AMF98" s="0"/>
      <c r="AMG98" s="0"/>
      <c r="AMH98" s="0"/>
      <c r="AMI98" s="0"/>
      <c r="AMJ98" s="0"/>
    </row>
    <row r="99" customFormat="false" ht="12.8" hidden="false" customHeight="false" outlineLevel="0" collapsed="false">
      <c r="F99" s="4" t="n">
        <v>0.69</v>
      </c>
      <c r="G99" s="2" t="n">
        <f aca="false">F99/(1-F99)</f>
        <v>2.2258064516129</v>
      </c>
      <c r="H99" s="2" t="n">
        <f aca="false">$B$4/(G99+1)</f>
        <v>0.2976</v>
      </c>
      <c r="I99" s="2" t="n">
        <f aca="false">IF($B$10&lt;&gt;1,(H99-$B$18)/($B$17-F99),$B$3)</f>
        <v>0.623994094175474</v>
      </c>
      <c r="J99" s="2" t="n">
        <f aca="false">IF($B$10&lt;&gt;1,I99*$B$17+$B$18,$B$3)</f>
        <v>0.728155924981077</v>
      </c>
      <c r="K99" s="2" t="n">
        <f aca="false">IF(VLOOKUP(I99,equil,2,1)&gt;J99,J99,NA())</f>
        <v>0.728155924981077</v>
      </c>
      <c r="AMC99" s="0"/>
      <c r="AMD99" s="0"/>
      <c r="AME99" s="0"/>
      <c r="AMF99" s="0"/>
      <c r="AMG99" s="0"/>
      <c r="AMH99" s="0"/>
      <c r="AMI99" s="0"/>
      <c r="AMJ99" s="0"/>
    </row>
    <row r="100" customFormat="false" ht="12.8" hidden="false" customHeight="false" outlineLevel="0" collapsed="false">
      <c r="F100" s="4" t="n">
        <v>0.7</v>
      </c>
      <c r="G100" s="2" t="n">
        <f aca="false">F100/(1-F100)</f>
        <v>2.33333333333333</v>
      </c>
      <c r="H100" s="2" t="n">
        <f aca="false">$B$4/(G100+1)</f>
        <v>0.288</v>
      </c>
      <c r="I100" s="2" t="n">
        <f aca="false">IF($B$10&lt;&gt;1,(H100-$B$18)/($B$17-F100),$B$3)</f>
        <v>0.622026506250587</v>
      </c>
      <c r="J100" s="2" t="n">
        <f aca="false">IF($B$10&lt;&gt;1,I100*$B$17+$B$18,$B$3)</f>
        <v>0.723418554375411</v>
      </c>
      <c r="K100" s="2" t="n">
        <f aca="false">IF(VLOOKUP(I100,equil,2,1)&gt;J100,J100,NA())</f>
        <v>0.723418554375411</v>
      </c>
      <c r="AMC100" s="0"/>
      <c r="AMD100" s="0"/>
      <c r="AME100" s="0"/>
      <c r="AMF100" s="0"/>
      <c r="AMG100" s="0"/>
      <c r="AMH100" s="0"/>
      <c r="AMI100" s="0"/>
      <c r="AMJ100" s="0"/>
    </row>
    <row r="101" customFormat="false" ht="12.8" hidden="false" customHeight="false" outlineLevel="0" collapsed="false">
      <c r="F101" s="4" t="n">
        <v>0.71</v>
      </c>
      <c r="G101" s="2" t="n">
        <f aca="false">F101/(1-F101)</f>
        <v>2.44827586206897</v>
      </c>
      <c r="H101" s="2" t="n">
        <f aca="false">$B$4/(G101+1)</f>
        <v>0.2784</v>
      </c>
      <c r="I101" s="2" t="n">
        <f aca="false">IF($B$10&lt;&gt;1,(H101-$B$18)/($B$17-F101),$B$3)</f>
        <v>0.620035738935585</v>
      </c>
      <c r="J101" s="2" t="n">
        <f aca="false">IF($B$10&lt;&gt;1,I101*$B$17+$B$18,$B$3)</f>
        <v>0.718625374644265</v>
      </c>
      <c r="K101" s="2" t="n">
        <f aca="false">IF(VLOOKUP(I101,equil,2,1)&gt;J101,J101,NA())</f>
        <v>0.718625374644265</v>
      </c>
      <c r="AMC101" s="0"/>
      <c r="AMD101" s="0"/>
      <c r="AME101" s="0"/>
      <c r="AMF101" s="0"/>
      <c r="AMG101" s="0"/>
      <c r="AMH101" s="0"/>
      <c r="AMI101" s="0"/>
      <c r="AMJ101" s="0"/>
    </row>
    <row r="102" customFormat="false" ht="12.8" hidden="false" customHeight="false" outlineLevel="0" collapsed="false">
      <c r="F102" s="4" t="n">
        <v>0.72</v>
      </c>
      <c r="G102" s="2" t="n">
        <f aca="false">F102/(1-F102)</f>
        <v>2.57142857142857</v>
      </c>
      <c r="H102" s="2" t="n">
        <f aca="false">$B$4/(G102+1)</f>
        <v>0.2688</v>
      </c>
      <c r="I102" s="2" t="n">
        <f aca="false">IF($B$10&lt;&gt;1,(H102-$B$18)/($B$17-F102),$B$3)</f>
        <v>0.618021380202389</v>
      </c>
      <c r="J102" s="2" t="n">
        <f aca="false">IF($B$10&lt;&gt;1,I102*$B$17+$B$18,$B$3)</f>
        <v>0.71377539374572</v>
      </c>
      <c r="K102" s="2" t="n">
        <f aca="false">IF(VLOOKUP(I102,equil,2,1)&gt;J102,J102,NA())</f>
        <v>0.71377539374572</v>
      </c>
      <c r="AMC102" s="0"/>
      <c r="AMD102" s="0"/>
      <c r="AME102" s="0"/>
      <c r="AMF102" s="0"/>
      <c r="AMG102" s="0"/>
      <c r="AMH102" s="0"/>
      <c r="AMI102" s="0"/>
      <c r="AMJ102" s="0"/>
    </row>
    <row r="103" customFormat="false" ht="12.8" hidden="false" customHeight="false" outlineLevel="0" collapsed="false">
      <c r="F103" s="4" t="n">
        <v>0.73</v>
      </c>
      <c r="G103" s="2" t="n">
        <f aca="false">F103/(1-F103)</f>
        <v>2.7037037037037</v>
      </c>
      <c r="H103" s="2" t="n">
        <f aca="false">$B$4/(G103+1)</f>
        <v>0.2592</v>
      </c>
      <c r="I103" s="2" t="n">
        <f aca="false">IF($B$10&lt;&gt;1,(H103-$B$18)/($B$17-F103),$B$3)</f>
        <v>0.615983008199309</v>
      </c>
      <c r="J103" s="2" t="n">
        <f aca="false">IF($B$10&lt;&gt;1,I103*$B$17+$B$18,$B$3)</f>
        <v>0.708867595985496</v>
      </c>
      <c r="K103" s="2" t="n">
        <f aca="false">IF(VLOOKUP(I103,equil,2,1)&gt;J103,J103,NA())</f>
        <v>0.708867595985496</v>
      </c>
      <c r="AMC103" s="0"/>
      <c r="AMD103" s="0"/>
      <c r="AME103" s="0"/>
      <c r="AMF103" s="0"/>
      <c r="AMG103" s="0"/>
      <c r="AMH103" s="0"/>
      <c r="AMI103" s="0"/>
      <c r="AMJ103" s="0"/>
    </row>
    <row r="104" customFormat="false" ht="12.8" hidden="false" customHeight="false" outlineLevel="0" collapsed="false">
      <c r="F104" s="4" t="n">
        <v>0.74</v>
      </c>
      <c r="G104" s="2" t="n">
        <f aca="false">F104/(1-F104)</f>
        <v>2.84615384615385</v>
      </c>
      <c r="H104" s="2" t="n">
        <f aca="false">$B$4/(G104+1)</f>
        <v>0.2496</v>
      </c>
      <c r="I104" s="2" t="n">
        <f aca="false">IF($B$10&lt;&gt;1,(H104-$B$18)/($B$17-F104),$B$3)</f>
        <v>0.613920190956515</v>
      </c>
      <c r="J104" s="2" t="n">
        <f aca="false">IF($B$10&lt;&gt;1,I104*$B$17+$B$18,$B$3)</f>
        <v>0.703900941307821</v>
      </c>
      <c r="K104" s="2" t="n">
        <f aca="false">IF(VLOOKUP(I104,equil,2,1)&gt;J104,J104,NA())</f>
        <v>0.703900941307821</v>
      </c>
      <c r="AMC104" s="0"/>
      <c r="AMD104" s="0"/>
      <c r="AME104" s="0"/>
      <c r="AMF104" s="0"/>
      <c r="AMG104" s="0"/>
      <c r="AMH104" s="0"/>
      <c r="AMI104" s="0"/>
      <c r="AMJ104" s="0"/>
    </row>
    <row r="105" customFormat="false" ht="12.8" hidden="false" customHeight="false" outlineLevel="0" collapsed="false">
      <c r="F105" s="4" t="n">
        <v>0.75</v>
      </c>
      <c r="G105" s="2" t="n">
        <f aca="false">F105/(1-F105)</f>
        <v>3</v>
      </c>
      <c r="H105" s="2" t="n">
        <f aca="false">$B$4/(G105+1)</f>
        <v>0.24</v>
      </c>
      <c r="I105" s="2" t="n">
        <f aca="false">IF($B$10&lt;&gt;1,(H105-$B$18)/($B$17-F105),$B$3)</f>
        <v>0.611832486080852</v>
      </c>
      <c r="J105" s="2" t="n">
        <f aca="false">IF($B$10&lt;&gt;1,I105*$B$17+$B$18,$B$3)</f>
        <v>0.698874364560639</v>
      </c>
      <c r="K105" s="2" t="n">
        <f aca="false">IF(VLOOKUP(I105,equil,2,1)&gt;J105,J105,NA())</f>
        <v>0.698874364560639</v>
      </c>
      <c r="AMC105" s="0"/>
      <c r="AMD105" s="0"/>
      <c r="AME105" s="0"/>
      <c r="AMF105" s="0"/>
      <c r="AMG105" s="0"/>
      <c r="AMH105" s="0"/>
      <c r="AMI105" s="0"/>
      <c r="AMJ105" s="0"/>
    </row>
    <row r="106" customFormat="false" ht="12.8" hidden="false" customHeight="false" outlineLevel="0" collapsed="false">
      <c r="F106" s="4" t="n">
        <v>0.76</v>
      </c>
      <c r="G106" s="2" t="n">
        <f aca="false">F106/(1-F106)</f>
        <v>3.16666666666667</v>
      </c>
      <c r="H106" s="2" t="n">
        <f aca="false">$B$4/(G106+1)</f>
        <v>0.2304</v>
      </c>
      <c r="I106" s="2" t="n">
        <f aca="false">IF($B$10&lt;&gt;1,(H106-$B$18)/($B$17-F106),$B$3)</f>
        <v>0.609719440439543</v>
      </c>
      <c r="J106" s="2" t="n">
        <f aca="false">IF($B$10&lt;&gt;1,I106*$B$17+$B$18,$B$3)</f>
        <v>0.693786774734053</v>
      </c>
      <c r="K106" s="2" t="n">
        <f aca="false">IF(VLOOKUP(I106,equil,2,1)&gt;J106,J106,NA())</f>
        <v>0.693786774734053</v>
      </c>
      <c r="AMC106" s="0"/>
      <c r="AMD106" s="0"/>
      <c r="AME106" s="0"/>
      <c r="AMF106" s="0"/>
      <c r="AMG106" s="0"/>
      <c r="AMH106" s="0"/>
      <c r="AMI106" s="0"/>
      <c r="AMJ106" s="0"/>
    </row>
    <row r="107" customFormat="false" ht="12.8" hidden="false" customHeight="false" outlineLevel="0" collapsed="false">
      <c r="F107" s="4" t="n">
        <v>0.77</v>
      </c>
      <c r="G107" s="2" t="n">
        <f aca="false">F107/(1-F107)</f>
        <v>3.34782608695652</v>
      </c>
      <c r="H107" s="2" t="n">
        <f aca="false">$B$4/(G107+1)</f>
        <v>0.2208</v>
      </c>
      <c r="I107" s="2" t="n">
        <f aca="false">IF($B$10&lt;&gt;1,(H107-$B$18)/($B$17-F107),$B$3)</f>
        <v>0.607580589832303</v>
      </c>
      <c r="J107" s="2" t="n">
        <f aca="false">IF($B$10&lt;&gt;1,I107*$B$17+$B$18,$B$3)</f>
        <v>0.688637054170873</v>
      </c>
      <c r="K107" s="2" t="n">
        <f aca="false">IF(VLOOKUP(I107,equil,2,1)&gt;J107,J107,NA())</f>
        <v>0.688637054170873</v>
      </c>
      <c r="AMC107" s="0"/>
      <c r="AMD107" s="0"/>
      <c r="AME107" s="0"/>
      <c r="AMF107" s="0"/>
      <c r="AMG107" s="0"/>
      <c r="AMH107" s="0"/>
      <c r="AMI107" s="0"/>
      <c r="AMJ107" s="0"/>
    </row>
    <row r="108" customFormat="false" ht="12.8" hidden="false" customHeight="false" outlineLevel="0" collapsed="false">
      <c r="F108" s="4" t="n">
        <v>0.78</v>
      </c>
      <c r="G108" s="2" t="n">
        <f aca="false">F108/(1-F108)</f>
        <v>3.54545454545455</v>
      </c>
      <c r="H108" s="2" t="n">
        <f aca="false">$B$4/(G108+1)</f>
        <v>0.2112</v>
      </c>
      <c r="I108" s="2" t="n">
        <f aca="false">IF($B$10&lt;&gt;1,(H108-$B$18)/($B$17-F108),$B$3)</f>
        <v>0.605415458651362</v>
      </c>
      <c r="J108" s="2" t="n">
        <f aca="false">IF($B$10&lt;&gt;1,I108*$B$17+$B$18,$B$3)</f>
        <v>0.683424057748062</v>
      </c>
      <c r="K108" s="2" t="n">
        <f aca="false">IF(VLOOKUP(I108,equil,2,1)&gt;J108,J108,NA())</f>
        <v>0.683424057748062</v>
      </c>
      <c r="AMC108" s="0"/>
      <c r="AMD108" s="0"/>
      <c r="AME108" s="0"/>
      <c r="AMF108" s="0"/>
      <c r="AMG108" s="0"/>
      <c r="AMH108" s="0"/>
      <c r="AMI108" s="0"/>
      <c r="AMJ108" s="0"/>
    </row>
    <row r="109" customFormat="false" ht="12.8" hidden="false" customHeight="false" outlineLevel="0" collapsed="false">
      <c r="F109" s="4" t="n">
        <v>0.79</v>
      </c>
      <c r="G109" s="2" t="n">
        <f aca="false">F109/(1-F109)</f>
        <v>3.76190476190476</v>
      </c>
      <c r="H109" s="2" t="n">
        <f aca="false">$B$4/(G109+1)</f>
        <v>0.2016</v>
      </c>
      <c r="I109" s="2" t="n">
        <f aca="false">IF($B$10&lt;&gt;1,(H109-$B$18)/($B$17-F109),$B$3)</f>
        <v>0.603223559528889</v>
      </c>
      <c r="J109" s="2" t="n">
        <f aca="false">IF($B$10&lt;&gt;1,I109*$B$17+$B$18,$B$3)</f>
        <v>0.678146612027822</v>
      </c>
      <c r="K109" s="2" t="n">
        <f aca="false">IF(VLOOKUP(I109,equil,2,1)&gt;J109,J109,NA())</f>
        <v>0.678146612027822</v>
      </c>
      <c r="AMC109" s="0"/>
      <c r="AMD109" s="0"/>
      <c r="AME109" s="0"/>
      <c r="AMF109" s="0"/>
      <c r="AMG109" s="0"/>
      <c r="AMH109" s="0"/>
      <c r="AMI109" s="0"/>
      <c r="AMJ109" s="0"/>
    </row>
    <row r="110" customFormat="false" ht="12.8" hidden="false" customHeight="false" outlineLevel="0" collapsed="false">
      <c r="F110" s="4" t="n">
        <v>0.8</v>
      </c>
      <c r="G110" s="2" t="n">
        <f aca="false">F110/(1-F110)</f>
        <v>4</v>
      </c>
      <c r="H110" s="2" t="n">
        <f aca="false">$B$4/(G110+1)</f>
        <v>0.192</v>
      </c>
      <c r="I110" s="2" t="n">
        <f aca="false">IF($B$10&lt;&gt;1,(H110-$B$18)/($B$17-F110),$B$3)</f>
        <v>0.601004392971246</v>
      </c>
      <c r="J110" s="2" t="n">
        <f aca="false">IF($B$10&lt;&gt;1,I110*$B$17+$B$18,$B$3)</f>
        <v>0.672803514376997</v>
      </c>
      <c r="K110" s="2" t="n">
        <f aca="false">IF(VLOOKUP(I110,equil,2,1)&gt;J110,J110,NA())</f>
        <v>0.672803514376997</v>
      </c>
      <c r="AMC110" s="0"/>
      <c r="AMD110" s="0"/>
      <c r="AME110" s="0"/>
      <c r="AMF110" s="0"/>
      <c r="AMG110" s="0"/>
      <c r="AMH110" s="0"/>
      <c r="AMI110" s="0"/>
      <c r="AMJ110" s="0"/>
    </row>
    <row r="111" customFormat="false" ht="12.8" hidden="false" customHeight="false" outlineLevel="0" collapsed="false">
      <c r="F111" s="4" t="n">
        <v>0.81</v>
      </c>
      <c r="G111" s="2" t="n">
        <f aca="false">F111/(1-F111)</f>
        <v>4.26315789473684</v>
      </c>
      <c r="H111" s="2" t="n">
        <f aca="false">$B$4/(G111+1)</f>
        <v>0.1824</v>
      </c>
      <c r="I111" s="2" t="n">
        <f aca="false">IF($B$10&lt;&gt;1,(H111-$B$18)/($B$17-F111),$B$3)</f>
        <v>0.598757446979515</v>
      </c>
      <c r="J111" s="2" t="n">
        <f aca="false">IF($B$10&lt;&gt;1,I111*$B$17+$B$18,$B$3)</f>
        <v>0.667393532053407</v>
      </c>
      <c r="K111" s="2" t="n">
        <f aca="false">IF(VLOOKUP(I111,equil,2,1)&gt;J111,J111,NA())</f>
        <v>0.667393532053407</v>
      </c>
      <c r="AMC111" s="0"/>
      <c r="AMD111" s="0"/>
      <c r="AME111" s="0"/>
      <c r="AMF111" s="0"/>
      <c r="AMG111" s="0"/>
      <c r="AMH111" s="0"/>
      <c r="AMI111" s="0"/>
      <c r="AMJ111" s="0"/>
    </row>
    <row r="112" customFormat="false" ht="12.8" hidden="false" customHeight="false" outlineLevel="0" collapsed="false">
      <c r="F112" s="4" t="n">
        <v>0.82</v>
      </c>
      <c r="G112" s="2" t="n">
        <f aca="false">F112/(1-F112)</f>
        <v>4.55555555555556</v>
      </c>
      <c r="H112" s="2" t="n">
        <f aca="false">$B$4/(G112+1)</f>
        <v>0.1728</v>
      </c>
      <c r="I112" s="2" t="n">
        <f aca="false">IF($B$10&lt;&gt;1,(H112-$B$18)/($B$17-F112),$B$3)</f>
        <v>0.596482196655681</v>
      </c>
      <c r="J112" s="2" t="n">
        <f aca="false">IF($B$10&lt;&gt;1,I112*$B$17+$B$18,$B$3)</f>
        <v>0.661915401257658</v>
      </c>
      <c r="K112" s="2" t="n">
        <f aca="false">IF(VLOOKUP(I112,equil,2,1)&gt;J112,J112,NA())</f>
        <v>0.661915401257658</v>
      </c>
      <c r="AMC112" s="0"/>
      <c r="AMD112" s="0"/>
      <c r="AME112" s="0"/>
      <c r="AMF112" s="0"/>
      <c r="AMG112" s="0"/>
      <c r="AMH112" s="0"/>
      <c r="AMI112" s="0"/>
      <c r="AMJ112" s="0"/>
    </row>
    <row r="113" customFormat="false" ht="12.8" hidden="false" customHeight="false" outlineLevel="0" collapsed="false">
      <c r="F113" s="4" t="n">
        <v>0.83</v>
      </c>
      <c r="G113" s="2" t="n">
        <f aca="false">F113/(1-F113)</f>
        <v>4.88235294117647</v>
      </c>
      <c r="H113" s="2" t="n">
        <f aca="false">$B$4/(G113+1)</f>
        <v>0.1632</v>
      </c>
      <c r="I113" s="2" t="n">
        <f aca="false">IF($B$10&lt;&gt;1,(H113-$B$18)/($B$17-F113),$B$3)</f>
        <v>0.594178103793837</v>
      </c>
      <c r="J113" s="2" t="n">
        <f aca="false">IF($B$10&lt;&gt;1,I113*$B$17+$B$18,$B$3)</f>
        <v>0.656367826148884</v>
      </c>
      <c r="K113" s="2" t="n">
        <f aca="false">IF(VLOOKUP(I113,equil,2,1)&gt;J113,J113,NA())</f>
        <v>0.656367826148884</v>
      </c>
      <c r="AMC113" s="0"/>
      <c r="AMD113" s="0"/>
      <c r="AME113" s="0"/>
      <c r="AMF113" s="0"/>
      <c r="AMG113" s="0"/>
      <c r="AMH113" s="0"/>
      <c r="AMI113" s="0"/>
      <c r="AMJ113" s="0"/>
    </row>
    <row r="114" customFormat="false" ht="12.8" hidden="false" customHeight="false" outlineLevel="0" collapsed="false">
      <c r="F114" s="4" t="n">
        <v>0.84</v>
      </c>
      <c r="G114" s="2" t="n">
        <f aca="false">F114/(1-F114)</f>
        <v>5.25</v>
      </c>
      <c r="H114" s="2" t="n">
        <f aca="false">$B$4/(G114+1)</f>
        <v>0.1536</v>
      </c>
      <c r="I114" s="2" t="n">
        <f aca="false">IF($B$10&lt;&gt;1,(H114-$B$18)/($B$17-F114),$B$3)</f>
        <v>0.591844616455748</v>
      </c>
      <c r="J114" s="2" t="n">
        <f aca="false">IF($B$10&lt;&gt;1,I114*$B$17+$B$18,$B$3)</f>
        <v>0.650749477822828</v>
      </c>
      <c r="K114" s="2" t="n">
        <f aca="false">IF(VLOOKUP(I114,equil,2,1)&gt;J114,J114,NA())</f>
        <v>0.650749477822828</v>
      </c>
      <c r="AMC114" s="0"/>
      <c r="AMD114" s="0"/>
      <c r="AME114" s="0"/>
      <c r="AMF114" s="0"/>
      <c r="AMG114" s="0"/>
      <c r="AMH114" s="0"/>
      <c r="AMI114" s="0"/>
      <c r="AMJ114" s="0"/>
    </row>
    <row r="115" customFormat="false" ht="12.8" hidden="false" customHeight="false" outlineLevel="0" collapsed="false">
      <c r="F115" s="4" t="n">
        <v>0.85</v>
      </c>
      <c r="G115" s="2" t="n">
        <f aca="false">F115/(1-F115)</f>
        <v>5.66666666666667</v>
      </c>
      <c r="H115" s="2" t="n">
        <f aca="false">$B$4/(G115+1)</f>
        <v>0.144</v>
      </c>
      <c r="I115" s="2" t="n">
        <f aca="false">IF($B$10&lt;&gt;1,(H115-$B$18)/($B$17-F115),$B$3)</f>
        <v>0.589481168530064</v>
      </c>
      <c r="J115" s="2" t="n">
        <f aca="false">IF($B$10&lt;&gt;1,I115*$B$17+$B$18,$B$3)</f>
        <v>0.645058993250554</v>
      </c>
      <c r="K115" s="2" t="n">
        <f aca="false">IF(VLOOKUP(I115,equil,2,1)&gt;J115,J115,NA())</f>
        <v>0.645058993250554</v>
      </c>
      <c r="AMC115" s="0"/>
      <c r="AMD115" s="0"/>
      <c r="AME115" s="0"/>
      <c r="AMF115" s="0"/>
      <c r="AMG115" s="0"/>
      <c r="AMH115" s="0"/>
      <c r="AMI115" s="0"/>
      <c r="AMJ115" s="0"/>
    </row>
    <row r="116" customFormat="false" ht="12.8" hidden="false" customHeight="false" outlineLevel="0" collapsed="false">
      <c r="F116" s="4" t="n">
        <v>0.86</v>
      </c>
      <c r="G116" s="2" t="n">
        <f aca="false">F116/(1-F116)</f>
        <v>6.14285714285714</v>
      </c>
      <c r="H116" s="2" t="n">
        <f aca="false">$B$4/(G116+1)</f>
        <v>0.1344</v>
      </c>
      <c r="I116" s="2" t="n">
        <f aca="false">IF($B$10&lt;&gt;1,(H116-$B$18)/($B$17-F116),$B$3)</f>
        <v>0.587087179274439</v>
      </c>
      <c r="J116" s="2" t="n">
        <f aca="false">IF($B$10&lt;&gt;1,I116*$B$17+$B$18,$B$3)</f>
        <v>0.639294974176018</v>
      </c>
      <c r="K116" s="2" t="n">
        <f aca="false">IF(VLOOKUP(I116,equil,2,1)&gt;J116,J116,NA())</f>
        <v>0.639294974176018</v>
      </c>
      <c r="AMC116" s="0"/>
      <c r="AMD116" s="0"/>
      <c r="AME116" s="0"/>
      <c r="AMF116" s="0"/>
      <c r="AMG116" s="0"/>
      <c r="AMH116" s="0"/>
      <c r="AMI116" s="0"/>
      <c r="AMJ116" s="0"/>
    </row>
    <row r="117" customFormat="false" ht="12.8" hidden="false" customHeight="false" outlineLevel="0" collapsed="false">
      <c r="F117" s="4" t="n">
        <v>0.87</v>
      </c>
      <c r="G117" s="2" t="n">
        <f aca="false">F117/(1-F117)</f>
        <v>6.69230769230769</v>
      </c>
      <c r="H117" s="2" t="n">
        <f aca="false">$B$4/(G117+1)</f>
        <v>0.1248</v>
      </c>
      <c r="I117" s="2" t="n">
        <f aca="false">IF($B$10&lt;&gt;1,(H117-$B$18)/($B$17-F117),$B$3)</f>
        <v>0.5846620528398</v>
      </c>
      <c r="J117" s="2" t="n">
        <f aca="false">IF($B$10&lt;&gt;1,I117*$B$17+$B$18,$B$3)</f>
        <v>0.633455985970626</v>
      </c>
      <c r="K117" s="2" t="n">
        <f aca="false">IF(VLOOKUP(I117,equil,2,1)&gt;J117,J117,NA())</f>
        <v>0.633455985970626</v>
      </c>
      <c r="AMC117" s="0"/>
      <c r="AMD117" s="0"/>
      <c r="AME117" s="0"/>
      <c r="AMF117" s="0"/>
      <c r="AMG117" s="0"/>
      <c r="AMH117" s="0"/>
      <c r="AMI117" s="0"/>
      <c r="AMJ117" s="0"/>
    </row>
    <row r="118" customFormat="false" ht="12.8" hidden="false" customHeight="false" outlineLevel="0" collapsed="false">
      <c r="F118" s="4" t="n">
        <v>0.88</v>
      </c>
      <c r="G118" s="2" t="n">
        <f aca="false">F118/(1-F118)</f>
        <v>7.33333333333333</v>
      </c>
      <c r="H118" s="2" t="n">
        <f aca="false">$B$4/(G118+1)</f>
        <v>0.1152</v>
      </c>
      <c r="I118" s="2" t="n">
        <f aca="false">IF($B$10&lt;&gt;1,(H118-$B$18)/($B$17-F118),$B$3)</f>
        <v>0.58220517777591</v>
      </c>
      <c r="J118" s="2" t="n">
        <f aca="false">IF($B$10&lt;&gt;1,I118*$B$17+$B$18,$B$3)</f>
        <v>0.627540556442801</v>
      </c>
      <c r="K118" s="2" t="n">
        <f aca="false">IF(VLOOKUP(I118,equil,2,1)&gt;J118,J118,NA())</f>
        <v>0.627540556442801</v>
      </c>
      <c r="AMC118" s="0"/>
      <c r="AMD118" s="0"/>
      <c r="AME118" s="0"/>
      <c r="AMF118" s="0"/>
      <c r="AMG118" s="0"/>
      <c r="AMH118" s="0"/>
      <c r="AMI118" s="0"/>
      <c r="AMJ118" s="0"/>
    </row>
    <row r="119" customFormat="false" ht="12.8" hidden="false" customHeight="false" outlineLevel="0" collapsed="false">
      <c r="F119" s="4" t="n">
        <v>0.89</v>
      </c>
      <c r="G119" s="2" t="n">
        <f aca="false">F119/(1-F119)</f>
        <v>8.09090909090909</v>
      </c>
      <c r="H119" s="2" t="n">
        <f aca="false">$B$4/(G119+1)</f>
        <v>0.1056</v>
      </c>
      <c r="I119" s="2" t="n">
        <f aca="false">IF($B$10&lt;&gt;1,(H119-$B$18)/($B$17-F119),$B$3)</f>
        <v>0.579715926517403</v>
      </c>
      <c r="J119" s="2" t="n">
        <f aca="false">IF($B$10&lt;&gt;1,I119*$B$17+$B$18,$B$3)</f>
        <v>0.621547174600489</v>
      </c>
      <c r="K119" s="2" t="n">
        <f aca="false">IF(VLOOKUP(I119,equil,2,1)&gt;J119,J119,NA())</f>
        <v>0.621547174600489</v>
      </c>
      <c r="AMC119" s="0"/>
      <c r="AMD119" s="0"/>
      <c r="AME119" s="0"/>
      <c r="AMF119" s="0"/>
      <c r="AMG119" s="0"/>
      <c r="AMH119" s="0"/>
      <c r="AMI119" s="0"/>
      <c r="AMJ119" s="0"/>
    </row>
    <row r="120" customFormat="false" ht="12.8" hidden="false" customHeight="false" outlineLevel="0" collapsed="false">
      <c r="F120" s="4" t="n">
        <v>0.9</v>
      </c>
      <c r="G120" s="2" t="n">
        <f aca="false">F120/(1-F120)</f>
        <v>9</v>
      </c>
      <c r="H120" s="2" t="n">
        <f aca="false">$B$4/(G120+1)</f>
        <v>0.096</v>
      </c>
      <c r="I120" s="2" t="n">
        <f aca="false">IF($B$10&lt;&gt;1,(H120-$B$18)/($B$17-F120),$B$3)</f>
        <v>0.577193654849356</v>
      </c>
      <c r="J120" s="2" t="n">
        <f aca="false">IF($B$10&lt;&gt;1,I120*$B$17+$B$18,$B$3)</f>
        <v>0.61547428936442</v>
      </c>
      <c r="K120" s="2" t="n">
        <f aca="false">IF(VLOOKUP(I120,equil,2,1)&gt;J120,J120,NA())</f>
        <v>0.61547428936442</v>
      </c>
      <c r="AMC120" s="0"/>
      <c r="AMD120" s="0"/>
      <c r="AME120" s="0"/>
      <c r="AMF120" s="0"/>
      <c r="AMG120" s="0"/>
      <c r="AMH120" s="0"/>
      <c r="AMI120" s="0"/>
      <c r="AMJ120" s="0"/>
    </row>
    <row r="121" customFormat="false" ht="12.8" hidden="false" customHeight="false" outlineLevel="0" collapsed="false">
      <c r="F121" s="4" t="n">
        <v>0.91</v>
      </c>
      <c r="G121" s="2" t="n">
        <f aca="false">F121/(1-F121)</f>
        <v>10.1111111111111</v>
      </c>
      <c r="H121" s="2" t="n">
        <f aca="false">$B$4/(G121+1)</f>
        <v>0.0864</v>
      </c>
      <c r="I121" s="2" t="n">
        <f aca="false">IF($B$10&lt;&gt;1,(H121-$B$18)/($B$17-F121),$B$3)</f>
        <v>0.574637701351453</v>
      </c>
      <c r="J121" s="2" t="n">
        <f aca="false">IF($B$10&lt;&gt;1,I121*$B$17+$B$18,$B$3)</f>
        <v>0.609320308229822</v>
      </c>
      <c r="K121" s="2" t="n">
        <f aca="false">IF(VLOOKUP(I121,equil,2,1)&gt;J121,J121,NA())</f>
        <v>0.609320308229822</v>
      </c>
      <c r="AMC121" s="0"/>
      <c r="AMD121" s="0"/>
      <c r="AME121" s="0"/>
      <c r="AMF121" s="0"/>
      <c r="AMG121" s="0"/>
      <c r="AMH121" s="0"/>
      <c r="AMI121" s="0"/>
      <c r="AMJ121" s="0"/>
    </row>
    <row r="122" customFormat="false" ht="12.8" hidden="false" customHeight="false" outlineLevel="0" collapsed="false">
      <c r="F122" s="4" t="n">
        <v>0.92</v>
      </c>
      <c r="G122" s="2" t="n">
        <f aca="false">F122/(1-F122)</f>
        <v>11.5</v>
      </c>
      <c r="H122" s="2" t="n">
        <f aca="false">$B$4/(G122+1)</f>
        <v>0.0768</v>
      </c>
      <c r="I122" s="2" t="n">
        <f aca="false">IF($B$10&lt;&gt;1,(H122-$B$18)/($B$17-F122),$B$3)</f>
        <v>0.572047386819732</v>
      </c>
      <c r="J122" s="2" t="n">
        <f aca="false">IF($B$10&lt;&gt;1,I122*$B$17+$B$18,$B$3)</f>
        <v>0.603083595874153</v>
      </c>
      <c r="K122" s="2" t="n">
        <f aca="false">IF(VLOOKUP(I122,equil,2,1)&gt;J122,J122,NA())</f>
        <v>0.603083595874153</v>
      </c>
      <c r="AMC122" s="0"/>
      <c r="AMD122" s="0"/>
      <c r="AME122" s="0"/>
      <c r="AMF122" s="0"/>
      <c r="AMG122" s="0"/>
      <c r="AMH122" s="0"/>
      <c r="AMI122" s="0"/>
      <c r="AMJ122" s="0"/>
    </row>
    <row r="123" customFormat="false" ht="12.8" hidden="false" customHeight="false" outlineLevel="0" collapsed="false">
      <c r="F123" s="4" t="n">
        <v>0.93</v>
      </c>
      <c r="G123" s="2" t="n">
        <f aca="false">F123/(1-F123)</f>
        <v>13.2857142857143</v>
      </c>
      <c r="H123" s="2" t="n">
        <f aca="false">$B$4/(G123+1)</f>
        <v>0.0672</v>
      </c>
      <c r="I123" s="2" t="n">
        <f aca="false">IF($B$10&lt;&gt;1,(H123-$B$18)/($B$17-F123),$B$3)</f>
        <v>0.569422013664853</v>
      </c>
      <c r="J123" s="2" t="n">
        <f aca="false">IF($B$10&lt;&gt;1,I123*$B$17+$B$18,$B$3)</f>
        <v>0.596762472708313</v>
      </c>
      <c r="K123" s="2" t="n">
        <f aca="false">IF(VLOOKUP(I123,equil,2,1)&gt;J123,J123,NA())</f>
        <v>0.596762472708313</v>
      </c>
      <c r="AMC123" s="0"/>
      <c r="AMD123" s="0"/>
      <c r="AME123" s="0"/>
      <c r="AMF123" s="0"/>
      <c r="AMG123" s="0"/>
      <c r="AMH123" s="0"/>
      <c r="AMI123" s="0"/>
      <c r="AMJ123" s="0"/>
    </row>
    <row r="124" customFormat="false" ht="12.8" hidden="false" customHeight="false" outlineLevel="0" collapsed="false">
      <c r="F124" s="4" t="n">
        <v>0.94</v>
      </c>
      <c r="G124" s="2" t="n">
        <f aca="false">F124/(1-F124)</f>
        <v>15.6666666666667</v>
      </c>
      <c r="H124" s="2" t="n">
        <f aca="false">$B$4/(G124+1)</f>
        <v>0.0575999999999999</v>
      </c>
      <c r="I124" s="2" t="n">
        <f aca="false">IF($B$10&lt;&gt;1,(H124-$B$18)/($B$17-F124),$B$3)</f>
        <v>0.566760865285767</v>
      </c>
      <c r="J124" s="2" t="n">
        <f aca="false">IF($B$10&lt;&gt;1,I124*$B$17+$B$18,$B$3)</f>
        <v>0.590355213368621</v>
      </c>
      <c r="K124" s="2" t="n">
        <f aca="false">IF(VLOOKUP(I124,equil,2,1)&gt;J124,J124,NA())</f>
        <v>0.590355213368621</v>
      </c>
      <c r="AMC124" s="0"/>
      <c r="AMD124" s="0"/>
      <c r="AME124" s="0"/>
      <c r="AMF124" s="0"/>
      <c r="AMG124" s="0"/>
      <c r="AMH124" s="0"/>
      <c r="AMI124" s="0"/>
      <c r="AMJ124" s="0"/>
    </row>
    <row r="125" customFormat="false" ht="12.8" hidden="false" customHeight="false" outlineLevel="0" collapsed="false">
      <c r="F125" s="4" t="n">
        <v>0.95</v>
      </c>
      <c r="G125" s="2" t="n">
        <f aca="false">F125/(1-F125)</f>
        <v>19</v>
      </c>
      <c r="H125" s="2" t="n">
        <f aca="false">$B$4/(G125+1)</f>
        <v>0.0479999999999999</v>
      </c>
      <c r="I125" s="2" t="n">
        <f aca="false">IF($B$10&lt;&gt;1,(H125-$B$18)/($B$17-F125),$B$3)</f>
        <v>0.564063205417607</v>
      </c>
      <c r="J125" s="2" t="n">
        <f aca="false">IF($B$10&lt;&gt;1,I125*$B$17+$B$18,$B$3)</f>
        <v>0.583860045146727</v>
      </c>
      <c r="K125" s="2" t="n">
        <f aca="false">IF(VLOOKUP(I125,equil,2,1)&gt;J125,J125,NA())</f>
        <v>0.583860045146727</v>
      </c>
      <c r="AMC125" s="0"/>
      <c r="AMD125" s="0"/>
      <c r="AME125" s="0"/>
      <c r="AMF125" s="0"/>
      <c r="AMG125" s="0"/>
      <c r="AMH125" s="0"/>
      <c r="AMI125" s="0"/>
      <c r="AMJ125" s="0"/>
    </row>
    <row r="126" customFormat="false" ht="12.8" hidden="false" customHeight="false" outlineLevel="0" collapsed="false">
      <c r="F126" s="4" t="n">
        <v>0.96</v>
      </c>
      <c r="G126" s="2" t="n">
        <f aca="false">F126/(1-F126)</f>
        <v>24</v>
      </c>
      <c r="H126" s="2" t="n">
        <f aca="false">$B$4/(G126+1)</f>
        <v>0.0384</v>
      </c>
      <c r="I126" s="2" t="n">
        <f aca="false">IF($B$10&lt;&gt;1,(H126-$B$18)/($B$17-F126),$B$3)</f>
        <v>0.561328277452546</v>
      </c>
      <c r="J126" s="2" t="n">
        <f aca="false">IF($B$10&lt;&gt;1,I126*$B$17+$B$18,$B$3)</f>
        <v>0.577275146354444</v>
      </c>
      <c r="K126" s="2" t="n">
        <f aca="false">IF(VLOOKUP(I126,equil,2,1)&gt;J126,J126,NA())</f>
        <v>0.577275146354444</v>
      </c>
      <c r="AMC126" s="0"/>
      <c r="AMD126" s="0"/>
      <c r="AME126" s="0"/>
      <c r="AMF126" s="0"/>
      <c r="AMG126" s="0"/>
      <c r="AMH126" s="0"/>
      <c r="AMI126" s="0"/>
      <c r="AMJ126" s="0"/>
    </row>
    <row r="127" customFormat="false" ht="12.8" hidden="false" customHeight="false" outlineLevel="0" collapsed="false">
      <c r="F127" s="4" t="n">
        <v>0.97</v>
      </c>
      <c r="G127" s="2" t="n">
        <f aca="false">F127/(1-F127)</f>
        <v>32.3333333333333</v>
      </c>
      <c r="H127" s="2" t="n">
        <f aca="false">$B$4/(G127+1)</f>
        <v>0.0288</v>
      </c>
      <c r="I127" s="2" t="n">
        <f aca="false">IF($B$10&lt;&gt;1,(H127-$B$18)/($B$17-F127),$B$3)</f>
        <v>0.558555303732318</v>
      </c>
      <c r="J127" s="2" t="n">
        <f aca="false">IF($B$10&lt;&gt;1,I127*$B$17+$B$18,$B$3)</f>
        <v>0.570598644620349</v>
      </c>
      <c r="K127" s="2" t="n">
        <f aca="false">IF(VLOOKUP(I127,equil,2,1)&gt;J127,J127,NA())</f>
        <v>0.570598644620349</v>
      </c>
      <c r="AMC127" s="0"/>
      <c r="AMD127" s="0"/>
      <c r="AME127" s="0"/>
      <c r="AMF127" s="0"/>
      <c r="AMG127" s="0"/>
      <c r="AMH127" s="0"/>
      <c r="AMI127" s="0"/>
      <c r="AMJ127" s="0"/>
    </row>
    <row r="128" customFormat="false" ht="12.8" hidden="false" customHeight="false" outlineLevel="0" collapsed="false">
      <c r="F128" s="4" t="n">
        <v>0.98</v>
      </c>
      <c r="G128" s="2" t="n">
        <f aca="false">F128/(1-F128)</f>
        <v>49</v>
      </c>
      <c r="H128" s="2" t="n">
        <f aca="false">$B$4/(G128+1)</f>
        <v>0.0192</v>
      </c>
      <c r="I128" s="2" t="n">
        <f aca="false">IF($B$10&lt;&gt;1,(H128-$B$18)/($B$17-F128),$B$3)</f>
        <v>0.555743484811009</v>
      </c>
      <c r="J128" s="2" t="n">
        <f aca="false">IF($B$10&lt;&gt;1,I128*$B$17+$B$18,$B$3)</f>
        <v>0.563828615114789</v>
      </c>
      <c r="K128" s="2" t="n">
        <f aca="false">IF(VLOOKUP(I128,equil,2,1)&gt;J128,J128,NA())</f>
        <v>0.563828615114789</v>
      </c>
      <c r="AMC128" s="0"/>
      <c r="AMD128" s="0"/>
      <c r="AME128" s="0"/>
      <c r="AMF128" s="0"/>
      <c r="AMG128" s="0"/>
      <c r="AMH128" s="0"/>
      <c r="AMI128" s="0"/>
      <c r="AMJ128" s="0"/>
    </row>
    <row r="129" customFormat="false" ht="12.8" hidden="false" customHeight="false" outlineLevel="0" collapsed="false">
      <c r="F129" s="4" t="n">
        <v>0.99</v>
      </c>
      <c r="G129" s="2" t="n">
        <f aca="false">F129/(1-F129)</f>
        <v>98.9999999999999</v>
      </c>
      <c r="H129" s="2" t="n">
        <f aca="false">$B$4/(G129+1)</f>
        <v>0.00960000000000001</v>
      </c>
      <c r="I129" s="2" t="n">
        <f aca="false">IF($B$10&lt;&gt;1,(H129-$B$18)/($B$17-F129),$B$3)</f>
        <v>0.552891998686639</v>
      </c>
      <c r="J129" s="2" t="n">
        <f aca="false">IF($B$10&lt;&gt;1,I129*$B$17+$B$18,$B$3)</f>
        <v>0.556963078699773</v>
      </c>
      <c r="K129" s="2" t="n">
        <f aca="false">IF(VLOOKUP(I129,equil,2,1)&gt;J129,J129,NA())</f>
        <v>0.556963078699773</v>
      </c>
      <c r="AMC129" s="0"/>
      <c r="AMD129" s="0"/>
      <c r="AME129" s="0"/>
      <c r="AMF129" s="0"/>
      <c r="AMG129" s="0"/>
      <c r="AMH129" s="0"/>
      <c r="AMI129" s="0"/>
      <c r="AMJ129" s="0"/>
    </row>
  </sheetData>
  <mergeCells count="8">
    <mergeCell ref="L1:M1"/>
    <mergeCell ref="N1:O1"/>
    <mergeCell ref="P1:Q1"/>
    <mergeCell ref="R1:S1"/>
    <mergeCell ref="T1:U1"/>
    <mergeCell ref="F17:G17"/>
    <mergeCell ref="F24:G24"/>
    <mergeCell ref="A44:E44"/>
  </mergeCells>
  <dataValidations count="3">
    <dataValidation allowBlank="true" operator="greaterThanOrEqual" showDropDown="false" showErrorMessage="true" showInputMessage="false" sqref="B4" type="decimal">
      <formula1>0.96</formula1>
      <formula2>0</formula2>
    </dataValidation>
    <dataValidation allowBlank="true" operator="lessThanOrEqual" showDropDown="false" showErrorMessage="true" showInputMessage="false" sqref="B5" type="decimal">
      <formula1>0.02</formula1>
      <formula2>0</formula2>
    </dataValidation>
    <dataValidation allowBlank="true" operator="equal" showDropDown="false" showErrorMessage="true" showInputMessage="false" sqref="B8:B9" type="list">
      <formula1>"Liquid,Mixed,Vapor"</formula1>
      <formula2>0</formula2>
    </dataValidation>
  </dataValidations>
  <printOptions headings="false" gridLines="false" gridLinesSet="true" horizontalCentered="false" verticalCentered="false"/>
  <pageMargins left="0.7875" right="0.7875" top="1.025" bottom="1.025" header="0.7875" footer="0.787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&amp;C&amp;A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44</TotalTime>
  <Application>LibreOffice/7.0.4.2$MacOSX_X86_64 LibreOffice_project/dcf040e67528d9187c66b2379df5ea4407429775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2021-02-27T04:45:59Z</dcterms:created>
  <dc:creator/>
  <dc:description/>
  <dc:language>en-US</dc:language>
  <cp:lastModifiedBy/>
  <dcterms:modified xsi:type="dcterms:W3CDTF">2021-02-28T20:05:53Z</dcterms:modified>
  <cp:revision>9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